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24000" windowHeight="15000"/>
  </bookViews>
  <sheets>
    <sheet name="About" sheetId="1" r:id="rId1"/>
    <sheet name="Coffee Cart" sheetId="2" r:id="rId2"/>
    <sheet name="NPV vs IRR" sheetId="3" r:id="rId3"/>
    <sheet name="Excel Functions" sheetId="4" r:id="rId4"/>
  </sheets>
  <calcPr calcId="124519" fullCalcOnLoad="1"/>
</workbook>
</file>

<file path=xl/sharedStrings.xml><?xml version="1.0" encoding="utf-8"?>
<sst xmlns="http://schemas.openxmlformats.org/spreadsheetml/2006/main" count="251" uniqueCount="197">
  <si>
    <t>akram.education</t>
  </si>
  <si>
    <t>NPV and other investment rules</t>
  </si>
  <si>
    <t>FIN 3414  Financial Management</t>
  </si>
  <si>
    <t>Florida Gulf Coast University</t>
  </si>
  <si>
    <t>What this workbook is for</t>
  </si>
  <si>
    <t>Score a project with every common capital budgeting rule (NPV, IRR, MIRR, payback, discounted payback, average accounting return and profitability index), then see why NPV and IRR can rank two mutually exclusive projects differently.</t>
  </si>
  <si>
    <t>How to use it</t>
  </si>
  <si>
    <t>Start on Coffee Cart. Change the investment, the required return or any yearly cash flow and every rule recalculates. The summary near the top shows all seven at once.</t>
  </si>
  <si>
    <t>Each rule is worked by hand in a small table and, where Excel has one, with the built-in function as a check. The two should always agree.</t>
  </si>
  <si>
    <t>On NPV vs IRR, the two projects cost the same but their cash flows arrive at different times. Read the NPV profile chart: the lines cross at the crossover rate, and which project wins depends on which side of it your required return sits.</t>
  </si>
  <si>
    <t>Excel Functions is a one-page reference for the formulas and the decision rules.</t>
  </si>
  <si>
    <t>Sheets</t>
  </si>
  <si>
    <t>Coffee Cart</t>
  </si>
  <si>
    <t>One project, seven rules, with a summary of all seven.</t>
  </si>
  <si>
    <t>NPV vs IRR</t>
  </si>
  <si>
    <t>Two mutually exclusive projects where NPV and IRR disagree, with the NPV profile and the crossover rate.</t>
  </si>
  <si>
    <t>Excel Functions</t>
  </si>
  <si>
    <t>Formulas and decision rules, with strengths and weaknesses.</t>
  </si>
  <si>
    <t>Colour key</t>
  </si>
  <si>
    <t>Input: blue on pale yellow. Change these and the workbook recalculates.</t>
  </si>
  <si>
    <t>Formula: black. Calculated from the inputs; no need to type over it.</t>
  </si>
  <si>
    <t>Note</t>
  </si>
  <si>
    <t>Note: grey italic. Explanation only.</t>
  </si>
  <si>
    <t>Header</t>
  </si>
  <si>
    <t>Header row: white bold on teal.</t>
  </si>
  <si>
    <t>About this file</t>
  </si>
  <si>
    <t>Version</t>
  </si>
  <si>
    <t>1.0</t>
  </si>
  <si>
    <t>Date</t>
  </si>
  <si>
    <t>October 2026</t>
  </si>
  <si>
    <t>Author</t>
  </si>
  <si>
    <t>Akram Ayyash, akram.education</t>
  </si>
  <si>
    <t>My own material, free to use for learning. Not an official FGCU document.</t>
  </si>
  <si>
    <t>Coffee cart: seven ways to judge one project</t>
  </si>
  <si>
    <t>One project scored with NPV, IRR, MIRR, payback, discounted payback, AAR and PI. Change the blue cells.</t>
  </si>
  <si>
    <t>Inputs</t>
  </si>
  <si>
    <t>Initial investment (cart and equipment)</t>
  </si>
  <si>
    <t>Required return (WACC)</t>
  </si>
  <si>
    <t>Payback cutoff (years)</t>
  </si>
  <si>
    <t>AAR benchmark</t>
  </si>
  <si>
    <t>Cash flow timeline</t>
  </si>
  <si>
    <t>Cash flow</t>
  </si>
  <si>
    <t>Project life (years)</t>
  </si>
  <si>
    <t>Cash flows grow as the cart builds repeat customers. The equipment is depreciated straight-line to zero over the project life.</t>
  </si>
  <si>
    <t>1. Net present value (NPV)</t>
  </si>
  <si>
    <t>Discount every cash flow to today at the required return and add them up. NPV &gt; 0 means the project earns more than investors require.</t>
  </si>
  <si>
    <t>Year</t>
  </si>
  <si>
    <t>Discount factor</t>
  </si>
  <si>
    <t>Present value</t>
  </si>
  <si>
    <t>Cumulative PV</t>
  </si>
  <si>
    <t>NPV (sum of present values)</t>
  </si>
  <si>
    <t>NPV (Excel NPV function)</t>
  </si>
  <si>
    <t>Excel's NPV() treats the first cash flow it is given as one period away, so the Year 0 cash flow goes outside the function.</t>
  </si>
  <si>
    <t>Decision</t>
  </si>
  <si>
    <t>2. Internal rate of return (IRR)</t>
  </si>
  <si>
    <t>The discount rate that makes NPV exactly zero: the project's breakeven return. Accept if IRR is above the WACC.</t>
  </si>
  <si>
    <t>IRR</t>
  </si>
  <si>
    <t>WACC</t>
  </si>
  <si>
    <t>IRR minus WACC</t>
  </si>
  <si>
    <t>Check: discount at the IRR and the cumulative present value ends at zero.</t>
  </si>
  <si>
    <t>Factor at IRR</t>
  </si>
  <si>
    <t>3. Modified IRR (MIRR)</t>
  </si>
  <si>
    <t>IRR assumes each inflow is reinvested at the IRR itself. MIRR reinvests at the WACC, which is a rate the firm can actually earn.</t>
  </si>
  <si>
    <t>Cash inflow</t>
  </si>
  <si>
    <t>Years to compound</t>
  </si>
  <si>
    <t>Value at end of life</t>
  </si>
  <si>
    <t>Terminal value (sum)</t>
  </si>
  <si>
    <t>Present value of outflows</t>
  </si>
  <si>
    <t>MIRR = (terminal value / PV of outflows)^(1/n) - 1</t>
  </si>
  <si>
    <t>MIRR (Excel MIRR function)</t>
  </si>
  <si>
    <t>MIRR(cash flows, finance rate, reinvestment rate). Both rates are the WACC here.</t>
  </si>
  <si>
    <t>When IRR is above the WACC, MIRR lands between the two, because inflows are reinvested at the WACC instead of at the IRR.</t>
  </si>
  <si>
    <t>4. Payback period</t>
  </si>
  <si>
    <t>Years until the cumulative cash flow turns positive. Simple, but it ignores the time value of money and everything after the cutoff.</t>
  </si>
  <si>
    <t>Cumulative cash flow</t>
  </si>
  <si>
    <t>Years with a negative cumulative cash flow</t>
  </si>
  <si>
    <t>Last year still negative</t>
  </si>
  <si>
    <t>Payback period (years)</t>
  </si>
  <si>
    <t>Excel has no payback function. Build the cumulative column, then: last negative year + amount still to recover / next year's cash flow.</t>
  </si>
  <si>
    <t>5. Discounted payback period</t>
  </si>
  <si>
    <t>Payback on discounted cash flows. It respects the time value of money but still ignores cash flows after the cutoff.</t>
  </si>
  <si>
    <t>Discounted cash flow</t>
  </si>
  <si>
    <t>Cumulative</t>
  </si>
  <si>
    <t>The last cumulative figure equals the NPV. That is not a coincidence.</t>
  </si>
  <si>
    <t>Years with a negative cumulative value</t>
  </si>
  <si>
    <t>Discounted payback (years)</t>
  </si>
  <si>
    <t>Cutoff: the project life (years)</t>
  </si>
  <si>
    <t>6. Average accounting return (AAR)</t>
  </si>
  <si>
    <t>Average net income divided by average book value. An accounting measure: no cash flows, no timing.</t>
  </si>
  <si>
    <t>Depreciation per year (straight-line)</t>
  </si>
  <si>
    <t>There are no taxes in this example, so net income is cash flow minus depreciation.</t>
  </si>
  <si>
    <t>Depreciation</t>
  </si>
  <si>
    <t>Net income</t>
  </si>
  <si>
    <t>Average net income</t>
  </si>
  <si>
    <t>Beginning book value</t>
  </si>
  <si>
    <t>Ending book value</t>
  </si>
  <si>
    <t>Average book value</t>
  </si>
  <si>
    <t>Average of every beginning book value plus the final ending value: six values for five years.</t>
  </si>
  <si>
    <t>AAR</t>
  </si>
  <si>
    <t>Effectively a return on assets for one project. It misses cash flows, timing and risk, which are exactly what NPV captures.</t>
  </si>
  <si>
    <t>7. Profitability index (PI)</t>
  </si>
  <si>
    <t>Present value of the future cash flows per dollar invested. PI &gt; 1 means accept.</t>
  </si>
  <si>
    <t>PV of future cash flows</t>
  </si>
  <si>
    <t>Initial investment</t>
  </si>
  <si>
    <t>Profitability index</t>
  </si>
  <si>
    <t>NPV per $1 invested</t>
  </si>
  <si>
    <t>Summary</t>
  </si>
  <si>
    <t>Metric</t>
  </si>
  <si>
    <t>Value</t>
  </si>
  <si>
    <t>Decision rule</t>
  </si>
  <si>
    <t>Result</t>
  </si>
  <si>
    <t>Net present value</t>
  </si>
  <si>
    <t>NPV &gt; 0</t>
  </si>
  <si>
    <t>Internal rate of return</t>
  </si>
  <si>
    <t>Modified IRR</t>
  </si>
  <si>
    <t>Average accounting return</t>
  </si>
  <si>
    <t>PI &gt; 1</t>
  </si>
  <si>
    <t>All seven agree here. They will not always: see the NPV vs IRR sheet.</t>
  </si>
  <si>
    <t>NPV vs IRR: when the two rules disagree</t>
  </si>
  <si>
    <t>Two mutually exclusive locations for the same coffee cart. You can run only one.</t>
  </si>
  <si>
    <t>A: Campus</t>
  </si>
  <si>
    <t>B: Downtown</t>
  </si>
  <si>
    <t>Difference, B minus A</t>
  </si>
  <si>
    <t>Campus: strong early traffic from students nearby, then it plateaus.</t>
  </si>
  <si>
    <t>Downtown: slow start while it builds a customer base, then it takes off as word spreads.</t>
  </si>
  <si>
    <t>PV, A</t>
  </si>
  <si>
    <t>PV, B</t>
  </si>
  <si>
    <t>Sum of present values</t>
  </si>
  <si>
    <t>NPV, A: Campus (Excel NPV)</t>
  </si>
  <si>
    <t>NPV, B: Downtown (Excel NPV)</t>
  </si>
  <si>
    <t>IRR, A: Campus</t>
  </si>
  <si>
    <t>IRR, B: Downtown</t>
  </si>
  <si>
    <t>The conflict</t>
  </si>
  <si>
    <t>Winner</t>
  </si>
  <si>
    <t>NPV</t>
  </si>
  <si>
    <t>Decision (follow NPV)</t>
  </si>
  <si>
    <t>Extra value over the other project</t>
  </si>
  <si>
    <t>For mutually exclusive projects, follow NPV. It measures dollars of value added at the rate you can actually earn.</t>
  </si>
  <si>
    <t>A is front-loaded: big cash flows early. B is back-loaded: big cash flows late.</t>
  </si>
  <si>
    <t>IRR implicitly reinvests A's early cash flows at A's own IRR. NPV reinvests at the WACC.</t>
  </si>
  <si>
    <t>NPV profile and the crossover rate</t>
  </si>
  <si>
    <t>Crossover rate (IRR of B minus A)</t>
  </si>
  <si>
    <t>Below the crossover rate B has the higher NPV; above it A does. IRR ranks A first, which is the ranking you would get at rates above the crossover.</t>
  </si>
  <si>
    <t>First rate in the profile</t>
  </si>
  <si>
    <t>Step</t>
  </si>
  <si>
    <t>Discount rate</t>
  </si>
  <si>
    <t>NPV, A</t>
  </si>
  <si>
    <t>NPV, B</t>
  </si>
  <si>
    <t>Capital budgeting in Excel: functions and rules</t>
  </si>
  <si>
    <t>Reference only. CF0 is the Year 0 cash flow (usually negative).</t>
  </si>
  <si>
    <t>Excel formula</t>
  </si>
  <si>
    <t>Notes</t>
  </si>
  <si>
    <t>=NPV(rate, CF1:CFn) + CF0</t>
  </si>
  <si>
    <t>NPV() discounts from period 1. Add the Year 0 cash flow separately.</t>
  </si>
  <si>
    <t>=IRR(CF0:CFn)</t>
  </si>
  <si>
    <t>Include the initial outflow (negative). The guess argument is optional.</t>
  </si>
  <si>
    <t>MIRR</t>
  </si>
  <si>
    <t>=MIRR(CF0:CFn, finance_rate, reinvest_rate)</t>
  </si>
  <si>
    <t>Finance rate for outflows, reinvestment rate for inflows. Use the WACC for both.</t>
  </si>
  <si>
    <t>Payback</t>
  </si>
  <si>
    <t>No built-in function</t>
  </si>
  <si>
    <t>Build a cumulative cash flow column, then: last negative year + amount left / next cash flow.</t>
  </si>
  <si>
    <t>Discounted payback</t>
  </si>
  <si>
    <t>Discount the cash flows first, then use the same cumulative approach.</t>
  </si>
  <si>
    <t>Average net income / average book value. AVERAGE() on helper columns.</t>
  </si>
  <si>
    <t>=NPV(rate, CF1:CFn) / -CF0</t>
  </si>
  <si>
    <t>Same numerator as NPV, divided by the initial investment.</t>
  </si>
  <si>
    <t>Crossover rate</t>
  </si>
  <si>
    <t>=IRR(differences)</t>
  </si>
  <si>
    <t>IRR of the year-by-year difference between two projects' cash flows.</t>
  </si>
  <si>
    <t>Equivalent annual cost</t>
  </si>
  <si>
    <t>=PMT(rate, n, -NPV)</t>
  </si>
  <si>
    <t>Turns an NPV into a level annual amount over n years.</t>
  </si>
  <si>
    <t>Accept if</t>
  </si>
  <si>
    <t>Strengths</t>
  </si>
  <si>
    <t>Weaknesses</t>
  </si>
  <si>
    <t>Uses all cash flows, the time value of money and risk. Measures value created in dollars.</t>
  </si>
  <si>
    <t>Needs an estimate of the discount rate.</t>
  </si>
  <si>
    <t>IRR &gt; WACC</t>
  </si>
  <si>
    <t>Easy to communicate as a percentage. An intuitive breakeven return.</t>
  </si>
  <si>
    <t>Assumes reinvestment at the IRR. Can have several IRRs. Misleads for mutually exclusive projects.</t>
  </si>
  <si>
    <t>MIRR &gt; WACC</t>
  </si>
  <si>
    <t>Fixes the reinvestment assumption. Always one answer.</t>
  </si>
  <si>
    <t>Less intuitive. Still a percentage, so it ignores scale.</t>
  </si>
  <si>
    <t>Payback &lt;= cutoff</t>
  </si>
  <si>
    <t>Simple. Favours liquidity.</t>
  </si>
  <si>
    <t>Ignores the time value of money and cash flows after the cutoff. The cutoff is arbitrary.</t>
  </si>
  <si>
    <t>Discounted payback &lt;= cutoff</t>
  </si>
  <si>
    <t>Accounts for the time value of money.</t>
  </si>
  <si>
    <t>Still ignores cash flows after the cutoff. The cutoff is arbitrary.</t>
  </si>
  <si>
    <t>AAR &gt; benchmark</t>
  </si>
  <si>
    <t>Uses accounting data that is readily available.</t>
  </si>
  <si>
    <t>Not based on cash flows. Ignores timing. The benchmark is arbitrary.</t>
  </si>
  <si>
    <t>PI</t>
  </si>
  <si>
    <t>Useful when capital is rationed: value per dollar.</t>
  </si>
  <si>
    <t>Can rank mutually exclusive projects differently from NPV.</t>
  </si>
  <si>
    <t>When the rules disagree, NPV is the one to trust: it measures value created in dollars.</t>
  </si>
</sst>
</file>

<file path=xl/styles.xml><?xml version="1.0" encoding="utf-8"?>
<styleSheet xmlns="http://schemas.openxmlformats.org/spreadsheetml/2006/main">
  <numFmts count="8">
    <numFmt numFmtId="164" formatCode="#,##0;-#,##0"/>
    <numFmt numFmtId="165" formatCode="$#,##0;-$#,##0"/>
    <numFmt numFmtId="166" formatCode="0.00%"/>
    <numFmt numFmtId="167" formatCode="0.00"/>
    <numFmt numFmtId="168" formatCode="&quot;Year &quot;0"/>
    <numFmt numFmtId="169" formatCode="0.000"/>
    <numFmt numFmtId="170" formatCode="0.0000"/>
    <numFmt numFmtId="171" formatCode="$#,##0.00;-$#,##0.00"/>
  </numFmts>
  <fonts count="9">
    <font>
      <sz val="11"/>
      <color theme="1"/>
      <name val="Calibri"/>
      <family val="2"/>
      <scheme val="minor"/>
    </font>
    <font>
      <b/>
      <sz val="11"/>
      <color rgb="FF2C7873"/>
      <name val="Calibri"/>
      <family val="2"/>
      <scheme val="minor"/>
    </font>
    <font>
      <b/>
      <sz val="14"/>
      <color rgb="FF142321"/>
      <name val="Calibri"/>
      <family val="2"/>
      <scheme val="minor"/>
    </font>
    <font>
      <b/>
      <sz val="11"/>
      <color theme="1"/>
      <name val="Calibri"/>
      <family val="2"/>
      <scheme val="minor"/>
    </font>
    <font>
      <b/>
      <sz val="11"/>
      <color rgb="FFFFFFFF"/>
      <name val="Calibri"/>
      <family val="2"/>
      <scheme val="minor"/>
    </font>
    <font>
      <sz val="11"/>
      <color rgb="FF1F4E9F"/>
      <name val="Calibri"/>
      <family val="2"/>
      <scheme val="minor"/>
    </font>
    <font>
      <sz val="11"/>
      <color rgb="FF000000"/>
      <name val="Calibri"/>
      <family val="2"/>
      <scheme val="minor"/>
    </font>
    <font>
      <i/>
      <sz val="11"/>
      <color rgb="FF5B6B68"/>
      <name val="Calibri"/>
      <family val="2"/>
      <scheme val="minor"/>
    </font>
    <font>
      <b/>
      <sz val="11"/>
      <color rgb="FF000000"/>
      <name val="Calibri"/>
      <family val="2"/>
      <scheme val="minor"/>
    </font>
  </fonts>
  <fills count="4">
    <fill>
      <patternFill patternType="none"/>
    </fill>
    <fill>
      <patternFill patternType="gray125"/>
    </fill>
    <fill>
      <patternFill patternType="solid">
        <fgColor rgb="FF2C7873"/>
        <bgColor indexed="64"/>
      </patternFill>
    </fill>
    <fill>
      <patternFill patternType="solid">
        <fgColor rgb="FFFFF7D6"/>
        <bgColor indexed="64"/>
      </patternFill>
    </fill>
  </fills>
  <borders count="3">
    <border>
      <left/>
      <right/>
      <top/>
      <bottom/>
      <diagonal/>
    </border>
    <border>
      <left style="thin">
        <color rgb="FFD6DFDC"/>
      </left>
      <right style="thin">
        <color rgb="FFD6DFDC"/>
      </right>
      <top style="thin">
        <color rgb="FFD6DFDC"/>
      </top>
      <bottom style="thin">
        <color rgb="FFD6DFDC"/>
      </bottom>
      <diagonal/>
    </border>
    <border>
      <left/>
      <right/>
      <top style="thin">
        <color rgb="FF142321"/>
      </top>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xf numFmtId="0" fontId="0" fillId="0" borderId="0" xfId="0"/>
    <xf numFmtId="0" fontId="4" fillId="2" borderId="0" xfId="0" applyFont="1" applyFill="1" applyAlignment="1">
      <alignment horizontal="left" vertical="center"/>
    </xf>
    <xf numFmtId="0" fontId="0" fillId="0" borderId="0" xfId="0" applyAlignment="1">
      <alignment vertical="top" wrapText="1"/>
    </xf>
    <xf numFmtId="0" fontId="3" fillId="0" borderId="0" xfId="0" applyFont="1" applyAlignment="1">
      <alignment vertical="top" wrapText="1"/>
    </xf>
    <xf numFmtId="164" fontId="5" fillId="3" borderId="1" xfId="0" applyNumberFormat="1" applyFont="1" applyFill="1" applyBorder="1"/>
    <xf numFmtId="164" fontId="6" fillId="0" borderId="0" xfId="0" applyNumberFormat="1" applyFont="1"/>
    <xf numFmtId="0" fontId="7" fillId="0" borderId="0" xfId="0" applyFont="1"/>
    <xf numFmtId="0" fontId="0" fillId="0" borderId="0" xfId="0" applyAlignment="1">
      <alignment horizontal="left"/>
    </xf>
    <xf numFmtId="165" fontId="5" fillId="3" borderId="1" xfId="0" applyNumberFormat="1" applyFont="1" applyFill="1" applyBorder="1"/>
    <xf numFmtId="166" fontId="5" fillId="3" borderId="1" xfId="0" applyNumberFormat="1" applyFont="1" applyFill="1" applyBorder="1"/>
    <xf numFmtId="167" fontId="5" fillId="3" borderId="1" xfId="0" applyNumberFormat="1" applyFont="1" applyFill="1" applyBorder="1"/>
    <xf numFmtId="168" fontId="4" fillId="2" borderId="0" xfId="0" applyNumberFormat="1" applyFont="1" applyFill="1" applyAlignment="1">
      <alignment horizontal="center" vertical="center"/>
    </xf>
    <xf numFmtId="165" fontId="6" fillId="0" borderId="0" xfId="0" applyNumberFormat="1" applyFont="1"/>
    <xf numFmtId="1" fontId="6" fillId="0" borderId="0" xfId="0" applyNumberFormat="1" applyFont="1"/>
    <xf numFmtId="0" fontId="4" fillId="2" borderId="0" xfId="0" applyFont="1" applyFill="1" applyAlignment="1">
      <alignment horizontal="center" vertical="center"/>
    </xf>
    <xf numFmtId="0" fontId="6" fillId="0" borderId="0" xfId="0" applyFont="1"/>
    <xf numFmtId="166" fontId="6" fillId="0" borderId="0" xfId="0" applyNumberFormat="1" applyFont="1"/>
    <xf numFmtId="0" fontId="6" fillId="0" borderId="0" xfId="0" applyFont="1" applyAlignment="1">
      <alignment horizontal="left"/>
    </xf>
    <xf numFmtId="167" fontId="6" fillId="0" borderId="0" xfId="0" applyNumberFormat="1" applyFont="1"/>
    <xf numFmtId="169" fontId="6" fillId="0" borderId="0" xfId="0" applyNumberFormat="1" applyFont="1"/>
    <xf numFmtId="168" fontId="6" fillId="0" borderId="0" xfId="0" applyNumberFormat="1" applyFont="1" applyAlignment="1">
      <alignment horizontal="left"/>
    </xf>
    <xf numFmtId="170" fontId="6" fillId="0" borderId="0" xfId="0" applyNumberFormat="1" applyFont="1"/>
    <xf numFmtId="165" fontId="8" fillId="0" borderId="2" xfId="0" applyNumberFormat="1" applyFont="1" applyBorder="1"/>
    <xf numFmtId="166" fontId="8" fillId="0" borderId="2" xfId="0" applyNumberFormat="1" applyFont="1" applyBorder="1"/>
    <xf numFmtId="167" fontId="8" fillId="0" borderId="2" xfId="0" applyNumberFormat="1" applyFont="1" applyBorder="1"/>
    <xf numFmtId="169" fontId="8" fillId="0" borderId="2" xfId="0" applyNumberFormat="1" applyFont="1" applyBorder="1"/>
    <xf numFmtId="171" fontId="6" fillId="0" borderId="0" xfId="0" applyNumberFormat="1" applyFont="1"/>
    <xf numFmtId="0" fontId="8" fillId="0" borderId="2" xfId="0" applyFont="1" applyBorder="1"/>
    <xf numFmtId="166" fontId="6" fillId="0" borderId="0" xfId="0" applyNumberFormat="1" applyFont="1"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baseline="0">
                <a:solidFill>
                  <a:srgbClr val="142321"/>
                </a:solidFill>
                <a:latin typeface="Calibri"/>
              </a:defRPr>
            </a:pPr>
            <a:r>
              <a:rPr lang="en-US" sz="1200" b="1" baseline="0">
                <a:solidFill>
                  <a:srgbClr val="142321"/>
                </a:solidFill>
                <a:latin typeface="Calibri"/>
              </a:rPr>
              <a:t>NPV profile</a:t>
            </a:r>
          </a:p>
        </c:rich>
      </c:tx>
      <c:layout/>
    </c:title>
    <c:plotArea>
      <c:layout/>
      <c:scatterChart>
        <c:scatterStyle val="lineMarker"/>
        <c:ser>
          <c:idx val="0"/>
          <c:order val="0"/>
          <c:tx>
            <c:v>NPV, A: Campus</c:v>
          </c:tx>
          <c:spPr>
            <a:ln w="28575">
              <a:solidFill>
                <a:srgbClr val="142321"/>
              </a:solidFill>
            </a:ln>
          </c:spPr>
          <c:marker>
            <c:symbol val="none"/>
          </c:marker>
          <c:xVal>
            <c:numRef>
              <c:f>'NPV vs IRR'!$A$48:$A$63</c:f>
              <c:numCache>
                <c:formatCode>General</c:formatCode>
                <c:ptCount val="16"/>
                <c:pt idx="0">
                  <c:v>0.0</c:v>
                </c:pt>
                <c:pt idx="1">
                  <c:v>0.02</c:v>
                </c:pt>
                <c:pt idx="2">
                  <c:v>0.04</c:v>
                </c:pt>
                <c:pt idx="3">
                  <c:v>0.06</c:v>
                </c:pt>
                <c:pt idx="4">
                  <c:v>0.08</c:v>
                </c:pt>
                <c:pt idx="5">
                  <c:v>0.1</c:v>
                </c:pt>
                <c:pt idx="6">
                  <c:v>0.12</c:v>
                </c:pt>
                <c:pt idx="7">
                  <c:v>0.14</c:v>
                </c:pt>
                <c:pt idx="8">
                  <c:v>0.16</c:v>
                </c:pt>
                <c:pt idx="9">
                  <c:v>0.18</c:v>
                </c:pt>
                <c:pt idx="10">
                  <c:v>0.2</c:v>
                </c:pt>
                <c:pt idx="11">
                  <c:v>0.22</c:v>
                </c:pt>
                <c:pt idx="12">
                  <c:v>0.24</c:v>
                </c:pt>
                <c:pt idx="13">
                  <c:v>0.26</c:v>
                </c:pt>
                <c:pt idx="14">
                  <c:v>0.28</c:v>
                </c:pt>
                <c:pt idx="15">
                  <c:v>0.3</c:v>
                </c:pt>
              </c:numCache>
            </c:numRef>
          </c:xVal>
          <c:yVal>
            <c:numRef>
              <c:f>'NPV vs IRR'!$B$48:$B$63</c:f>
              <c:numCache>
                <c:formatCode>General</c:formatCode>
                <c:ptCount val="16"/>
                <c:pt idx="0">
                  <c:v>12000.0</c:v>
                </c:pt>
                <c:pt idx="1">
                  <c:v>10412.43563938455</c:v>
                </c:pt>
                <c:pt idx="2">
                  <c:v>8923.816568047334</c:v>
                </c:pt>
                <c:pt idx="3">
                  <c:v>7525.9442358456945</c:v>
                </c:pt>
                <c:pt idx="4">
                  <c:v>6211.451506376057</c:v>
                </c:pt>
                <c:pt idx="5">
                  <c:v>4973.70398196844</c:v>
                </c:pt>
                <c:pt idx="6">
                  <c:v>3806.7146501457664</c:v>
                </c:pt>
                <c:pt idx="7">
                  <c:v>2705.069846052491</c:v>
                </c:pt>
                <c:pt idx="8">
                  <c:v>1663.8648571077174</c:v>
                </c:pt>
                <c:pt idx="9">
                  <c:v>678.647768272318</c:v>
                </c:pt>
                <c:pt idx="10">
                  <c:v>-254.62962962962774</c:v>
                </c:pt>
                <c:pt idx="11">
                  <c:v>-1139.6548609795527</c:v>
                </c:pt>
                <c:pt idx="12">
                  <c:v>-1979.7925547984287</c:v>
                </c:pt>
                <c:pt idx="13">
                  <c:v>-2778.117713869794</c:v>
                </c:pt>
                <c:pt idx="14">
                  <c:v>-3537.445068359376</c:v>
                </c:pt>
                <c:pt idx="15">
                  <c:v>-4260.355029585801</c:v>
                </c:pt>
              </c:numCache>
            </c:numRef>
          </c:yVal>
        </c:ser>
        <c:ser>
          <c:idx val="1"/>
          <c:order val="1"/>
          <c:tx>
            <c:v>NPV, B: Downtown</c:v>
          </c:tx>
          <c:spPr>
            <a:ln w="28575">
              <a:solidFill>
                <a:srgbClr val="2C7873"/>
              </a:solidFill>
            </a:ln>
          </c:spPr>
          <c:marker>
            <c:symbol val="none"/>
          </c:marker>
          <c:xVal>
            <c:numRef>
              <c:f>'NPV vs IRR'!$A$48:$A$63</c:f>
              <c:numCache>
                <c:formatCode>General</c:formatCode>
                <c:ptCount val="16"/>
                <c:pt idx="0">
                  <c:v>0.0</c:v>
                </c:pt>
                <c:pt idx="1">
                  <c:v>0.02</c:v>
                </c:pt>
                <c:pt idx="2">
                  <c:v>0.04</c:v>
                </c:pt>
                <c:pt idx="3">
                  <c:v>0.06</c:v>
                </c:pt>
                <c:pt idx="4">
                  <c:v>0.08</c:v>
                </c:pt>
                <c:pt idx="5">
                  <c:v>0.1</c:v>
                </c:pt>
                <c:pt idx="6">
                  <c:v>0.12</c:v>
                </c:pt>
                <c:pt idx="7">
                  <c:v>0.14</c:v>
                </c:pt>
                <c:pt idx="8">
                  <c:v>0.16</c:v>
                </c:pt>
                <c:pt idx="9">
                  <c:v>0.18</c:v>
                </c:pt>
                <c:pt idx="10">
                  <c:v>0.2</c:v>
                </c:pt>
                <c:pt idx="11">
                  <c:v>0.22</c:v>
                </c:pt>
                <c:pt idx="12">
                  <c:v>0.24</c:v>
                </c:pt>
                <c:pt idx="13">
                  <c:v>0.26</c:v>
                </c:pt>
                <c:pt idx="14">
                  <c:v>0.28</c:v>
                </c:pt>
                <c:pt idx="15">
                  <c:v>0.3</c:v>
                </c:pt>
              </c:numCache>
            </c:numRef>
          </c:xVal>
          <c:yVal>
            <c:numRef>
              <c:f>'NPV vs IRR'!$C$48:$C$63</c:f>
              <c:numCache>
                <c:formatCode>General</c:formatCode>
                <c:ptCount val="16"/>
                <c:pt idx="0">
                  <c:v>15000.0</c:v>
                </c:pt>
                <c:pt idx="1">
                  <c:v>12821.01152648679</c:v>
                </c:pt>
                <c:pt idx="2">
                  <c:v>10794.26490669094</c:v>
                </c:pt>
                <c:pt idx="3">
                  <c:v>8906.278337150798</c:v>
                </c:pt>
                <c:pt idx="4">
                  <c:v>7144.998221815775</c:v>
                </c:pt>
                <c:pt idx="5">
                  <c:v>5499.624342599541</c:v>
                </c:pt>
                <c:pt idx="6">
                  <c:v>3960.45918367346</c:v>
                </c:pt>
                <c:pt idx="7">
                  <c:v>2518.7777075807307</c:v>
                </c:pt>
                <c:pt idx="8">
                  <c:v>1166.7145024396314</c:v>
                </c:pt>
                <c:pt idx="9">
                  <c:v>-102.83427224789011</c:v>
                </c:pt>
                <c:pt idx="10">
                  <c:v>-1296.296296296293</c:v>
                </c:pt>
                <c:pt idx="11">
                  <c:v>-2419.4976672056246</c:v>
                </c:pt>
                <c:pt idx="12">
                  <c:v>-3477.7281729381352</c:v>
                </c:pt>
                <c:pt idx="13">
                  <c:v>-4475.798549872627</c:v>
                </c:pt>
                <c:pt idx="14">
                  <c:v>-5418.090820312502</c:v>
                </c:pt>
                <c:pt idx="15">
                  <c:v>-6308.602639963588</c:v>
                </c:pt>
              </c:numCache>
            </c:numRef>
          </c:yVal>
        </c:ser>
        <c:axId val="50010001"/>
        <c:axId val="50010002"/>
      </c:scatterChart>
      <c:valAx>
        <c:axId val="50010001"/>
        <c:scaling>
          <c:orientation val="minMax"/>
        </c:scaling>
        <c:axPos val="b"/>
        <c:title>
          <c:tx>
            <c:rich>
              <a:bodyPr/>
              <a:lstStyle/>
              <a:p>
                <a:pPr>
                  <a:defRPr sz="1000" baseline="0">
                    <a:solidFill>
                      <a:srgbClr val="142321"/>
                    </a:solidFill>
                    <a:latin typeface="Calibri"/>
                  </a:defRPr>
                </a:pPr>
                <a:r>
                  <a:rPr lang="en-US" sz="1000" baseline="0">
                    <a:solidFill>
                      <a:srgbClr val="142321"/>
                    </a:solidFill>
                    <a:latin typeface="Calibri"/>
                  </a:rPr>
                  <a:t>Discount rate</a:t>
                </a:r>
              </a:p>
            </c:rich>
          </c:tx>
          <c:layout/>
        </c:title>
        <c:numFmt formatCode="0%" sourceLinked="0"/>
        <c:tickLblPos val="nextTo"/>
        <c:spPr>
          <a:ln>
            <a:solidFill>
              <a:srgbClr val="D6DFDC"/>
            </a:solidFill>
          </a:ln>
        </c:spPr>
        <c:txPr>
          <a:bodyPr/>
          <a:lstStyle/>
          <a:p>
            <a:pPr>
              <a:defRPr sz="1000" baseline="0">
                <a:solidFill>
                  <a:srgbClr val="142321"/>
                </a:solidFill>
                <a:latin typeface="Calibri"/>
              </a:defRPr>
            </a:pPr>
            <a:endParaRPr lang="en-US"/>
          </a:p>
        </c:txPr>
        <c:crossAx val="50010002"/>
        <c:crosses val="autoZero"/>
        <c:crossBetween val="midCat"/>
      </c:valAx>
      <c:valAx>
        <c:axId val="50010002"/>
        <c:scaling>
          <c:orientation val="minMax"/>
        </c:scaling>
        <c:axPos val="l"/>
        <c:majorGridlines>
          <c:spPr>
            <a:ln>
              <a:solidFill>
                <a:srgbClr val="D6DFDC"/>
              </a:solidFill>
            </a:ln>
          </c:spPr>
        </c:majorGridlines>
        <c:title>
          <c:tx>
            <c:rich>
              <a:bodyPr rot="-5400000" vert="horz"/>
              <a:lstStyle/>
              <a:p>
                <a:pPr>
                  <a:defRPr sz="1000" baseline="0">
                    <a:solidFill>
                      <a:srgbClr val="142321"/>
                    </a:solidFill>
                    <a:latin typeface="Calibri"/>
                  </a:defRPr>
                </a:pPr>
                <a:r>
                  <a:rPr lang="en-US" sz="1000" baseline="0">
                    <a:solidFill>
                      <a:srgbClr val="142321"/>
                    </a:solidFill>
                    <a:latin typeface="Calibri"/>
                  </a:rPr>
                  <a:t>NPV ($)</a:t>
                </a:r>
              </a:p>
            </c:rich>
          </c:tx>
          <c:layout/>
        </c:title>
        <c:numFmt formatCode="$#,##0" sourceLinked="0"/>
        <c:tickLblPos val="nextTo"/>
        <c:spPr>
          <a:ln>
            <a:solidFill>
              <a:srgbClr val="D6DFDC"/>
            </a:solidFill>
          </a:ln>
        </c:spPr>
        <c:txPr>
          <a:bodyPr/>
          <a:lstStyle/>
          <a:p>
            <a:pPr>
              <a:defRPr sz="1000" baseline="0">
                <a:solidFill>
                  <a:srgbClr val="142321"/>
                </a:solidFill>
                <a:latin typeface="Calibri"/>
              </a:defRPr>
            </a:pPr>
            <a:endParaRPr lang="en-US"/>
          </a:p>
        </c:txPr>
        <c:crossAx val="50010001"/>
        <c:crosses val="autoZero"/>
        <c:crossBetween val="midCat"/>
      </c:valAx>
    </c:plotArea>
    <c:legend>
      <c:legendPos val="b"/>
      <c:layout/>
      <c:txPr>
        <a:bodyPr/>
        <a:lstStyle/>
        <a:p>
          <a:pPr>
            <a:defRPr sz="1000" baseline="0">
              <a:solidFill>
                <a:srgbClr val="142321"/>
              </a:solidFill>
              <a:latin typeface="Calibri"/>
            </a:defRPr>
          </a:pPr>
          <a:endParaRPr lang="en-US"/>
        </a:p>
      </c:txPr>
    </c:legend>
    <c:plotVisOnly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95250</xdr:colOff>
      <xdr:row>46</xdr:row>
      <xdr:rowOff>0</xdr:rowOff>
    </xdr:from>
    <xdr:to>
      <xdr:col>10</xdr:col>
      <xdr:colOff>114300</xdr:colOff>
      <xdr:row>65</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2C7873"/>
  </sheetPr>
  <dimension ref="B2:C32"/>
  <sheetViews>
    <sheetView showGridLines="0" tabSelected="1" workbookViewId="0"/>
  </sheetViews>
  <sheetFormatPr defaultRowHeight="15"/>
  <cols>
    <col min="1" max="1" width="3.7109375" customWidth="1"/>
    <col min="2" max="2" width="24.7109375" customWidth="1"/>
    <col min="3" max="3" width="92.7109375" customWidth="1"/>
  </cols>
  <sheetData>
    <row r="2" spans="2:3">
      <c r="B2" s="1" t="s">
        <v>0</v>
      </c>
    </row>
    <row r="3" spans="2:3" ht="21" customHeight="1">
      <c r="B3" s="2" t="s">
        <v>1</v>
      </c>
    </row>
    <row r="4" spans="2:3">
      <c r="B4" s="3" t="s">
        <v>2</v>
      </c>
    </row>
    <row r="5" spans="2:3">
      <c r="B5" s="4" t="s">
        <v>3</v>
      </c>
    </row>
    <row r="7" spans="2:3">
      <c r="B7" s="5" t="s">
        <v>4</v>
      </c>
      <c r="C7" s="5"/>
    </row>
    <row r="8" spans="2:3" ht="33" customHeight="1">
      <c r="B8" s="6" t="s">
        <v>5</v>
      </c>
      <c r="C8" s="6"/>
    </row>
    <row r="10" spans="2:3">
      <c r="B10" s="5" t="s">
        <v>6</v>
      </c>
      <c r="C10" s="5"/>
    </row>
    <row r="11" spans="2:3" ht="33" customHeight="1">
      <c r="B11" s="6" t="s">
        <v>7</v>
      </c>
      <c r="C11" s="6"/>
    </row>
    <row r="12" spans="2:3" ht="33" customHeight="1">
      <c r="B12" s="6" t="s">
        <v>8</v>
      </c>
      <c r="C12" s="6"/>
    </row>
    <row r="13" spans="2:3" ht="33" customHeight="1">
      <c r="B13" s="6" t="s">
        <v>9</v>
      </c>
      <c r="C13" s="6"/>
    </row>
    <row r="14" spans="2:3" ht="18" customHeight="1">
      <c r="B14" s="6" t="s">
        <v>10</v>
      </c>
      <c r="C14" s="6"/>
    </row>
    <row r="16" spans="2:3">
      <c r="B16" s="5" t="s">
        <v>11</v>
      </c>
      <c r="C16" s="5"/>
    </row>
    <row r="17" spans="2:3" ht="18" customHeight="1">
      <c r="B17" s="7" t="s">
        <v>12</v>
      </c>
      <c r="C17" s="6" t="s">
        <v>13</v>
      </c>
    </row>
    <row r="18" spans="2:3" ht="18" customHeight="1">
      <c r="B18" s="7" t="s">
        <v>14</v>
      </c>
      <c r="C18" s="6" t="s">
        <v>15</v>
      </c>
    </row>
    <row r="19" spans="2:3" ht="18" customHeight="1">
      <c r="B19" s="7" t="s">
        <v>16</v>
      </c>
      <c r="C19" s="6" t="s">
        <v>17</v>
      </c>
    </row>
    <row r="21" spans="2:3">
      <c r="B21" s="5" t="s">
        <v>18</v>
      </c>
      <c r="C21" s="5"/>
    </row>
    <row r="22" spans="2:3">
      <c r="B22" s="8">
        <v>1000</v>
      </c>
      <c r="C22" s="6" t="s">
        <v>19</v>
      </c>
    </row>
    <row r="23" spans="2:3">
      <c r="B23" s="9">
        <f>B22*2</f>
        <v>2000</v>
      </c>
      <c r="C23" s="6" t="s">
        <v>20</v>
      </c>
    </row>
    <row r="24" spans="2:3">
      <c r="B24" s="10" t="s">
        <v>21</v>
      </c>
      <c r="C24" s="6" t="s">
        <v>22</v>
      </c>
    </row>
    <row r="25" spans="2:3">
      <c r="B25" s="5" t="s">
        <v>23</v>
      </c>
      <c r="C25" s="6" t="s">
        <v>24</v>
      </c>
    </row>
    <row r="27" spans="2:3">
      <c r="B27" s="5" t="s">
        <v>25</v>
      </c>
      <c r="C27" s="5"/>
    </row>
    <row r="28" spans="2:3">
      <c r="B28" s="3" t="s">
        <v>26</v>
      </c>
      <c r="C28" s="11" t="s">
        <v>27</v>
      </c>
    </row>
    <row r="29" spans="2:3">
      <c r="B29" s="3" t="s">
        <v>28</v>
      </c>
      <c r="C29" s="4" t="s">
        <v>29</v>
      </c>
    </row>
    <row r="30" spans="2:3">
      <c r="B30" s="3" t="s">
        <v>30</v>
      </c>
      <c r="C30" s="4" t="s">
        <v>31</v>
      </c>
    </row>
    <row r="32" spans="2:3">
      <c r="B32" s="10" t="s">
        <v>32</v>
      </c>
      <c r="C32" s="10"/>
    </row>
  </sheetData>
  <mergeCells count="6">
    <mergeCell ref="B8:C8"/>
    <mergeCell ref="B11:C11"/>
    <mergeCell ref="B12:C12"/>
    <mergeCell ref="B13:C13"/>
    <mergeCell ref="B14:C14"/>
    <mergeCell ref="B32:C3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4"/>
  <sheetViews>
    <sheetView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40.7109375" customWidth="1"/>
    <col min="2" max="13" width="14.7109375" customWidth="1"/>
  </cols>
  <sheetData>
    <row r="1" spans="1:7" ht="21" customHeight="1">
      <c r="A1" s="2" t="s">
        <v>33</v>
      </c>
    </row>
    <row r="2" spans="1:7">
      <c r="A2" s="10" t="s">
        <v>34</v>
      </c>
    </row>
    <row r="4" spans="1:7">
      <c r="A4" s="5" t="s">
        <v>35</v>
      </c>
      <c r="B4" s="5"/>
      <c r="C4" s="5"/>
      <c r="D4" s="5"/>
      <c r="E4" s="5"/>
      <c r="F4" s="5"/>
      <c r="G4" s="5"/>
    </row>
    <row r="5" spans="1:7">
      <c r="A5" s="4" t="s">
        <v>36</v>
      </c>
      <c r="B5" s="12">
        <v>50000</v>
      </c>
    </row>
    <row r="6" spans="1:7">
      <c r="A6" s="4" t="s">
        <v>37</v>
      </c>
      <c r="B6" s="13">
        <v>0.12</v>
      </c>
    </row>
    <row r="7" spans="1:7">
      <c r="A7" s="4" t="s">
        <v>38</v>
      </c>
      <c r="B7" s="14">
        <v>4</v>
      </c>
    </row>
    <row r="8" spans="1:7">
      <c r="A8" s="4" t="s">
        <v>39</v>
      </c>
      <c r="B8" s="13">
        <v>0.2</v>
      </c>
    </row>
    <row r="10" spans="1:7">
      <c r="A10" s="5" t="s">
        <v>40</v>
      </c>
      <c r="B10" s="15">
        <v>0</v>
      </c>
      <c r="C10" s="15">
        <v>1</v>
      </c>
      <c r="D10" s="15">
        <v>2</v>
      </c>
      <c r="E10" s="15">
        <v>3</v>
      </c>
      <c r="F10" s="15">
        <v>4</v>
      </c>
      <c r="G10" s="15">
        <v>5</v>
      </c>
    </row>
    <row r="11" spans="1:7">
      <c r="A11" s="4" t="s">
        <v>41</v>
      </c>
      <c r="B11" s="16">
        <f>-$B$5</f>
        <v>-50000.0</v>
      </c>
      <c r="C11" s="12">
        <v>10000</v>
      </c>
      <c r="D11" s="12">
        <v>15000</v>
      </c>
      <c r="E11" s="12">
        <v>18000</v>
      </c>
      <c r="F11" s="12">
        <v>20000</v>
      </c>
      <c r="G11" s="12">
        <v>22000</v>
      </c>
    </row>
    <row r="12" spans="1:7">
      <c r="A12" s="4" t="s">
        <v>42</v>
      </c>
      <c r="B12" s="17">
        <f>MAX($B$10:$G$10)</f>
        <v>5</v>
      </c>
    </row>
    <row r="13" spans="1:7">
      <c r="A13" s="10" t="s">
        <v>43</v>
      </c>
    </row>
    <row r="15" spans="1:7">
      <c r="A15" s="5" t="s">
        <v>106</v>
      </c>
      <c r="B15" s="5"/>
      <c r="C15" s="5"/>
      <c r="D15" s="5"/>
      <c r="E15" s="5"/>
      <c r="F15" s="5"/>
      <c r="G15" s="5"/>
    </row>
    <row r="16" spans="1:7">
      <c r="A16" s="5" t="s">
        <v>107</v>
      </c>
      <c r="B16" s="18" t="s">
        <v>108</v>
      </c>
      <c r="C16" s="18" t="s">
        <v>109</v>
      </c>
      <c r="D16" s="18" t="s">
        <v>110</v>
      </c>
    </row>
    <row r="17" spans="1:7">
      <c r="A17" s="4" t="s">
        <v>111</v>
      </c>
      <c r="B17" s="16">
        <f>$B$36</f>
        <v>8892.276446383934</v>
      </c>
      <c r="C17" s="4" t="s">
        <v>112</v>
      </c>
      <c r="D17" s="19" t="str">
        <f>$B$38</f>
        <v>ACCEPT</v>
      </c>
    </row>
    <row r="18" spans="1:7">
      <c r="A18" s="4" t="s">
        <v>113</v>
      </c>
      <c r="B18" s="20">
        <f>$B$42</f>
        <v>0.18104765232430686</v>
      </c>
      <c r="C18" s="21" t="str">
        <f>"IRR &gt; WACC ("&amp;TEXT($B$6,"0%")&amp;")"</f>
        <v>IRR &gt; WACC (12%)</v>
      </c>
      <c r="D18" s="19" t="str">
        <f>$B$45</f>
        <v>ACCEPT</v>
      </c>
    </row>
    <row r="19" spans="1:7">
      <c r="A19" s="4" t="s">
        <v>114</v>
      </c>
      <c r="B19" s="20">
        <f>$B$67</f>
        <v>0.1572726519039218</v>
      </c>
      <c r="C19" s="21" t="str">
        <f>"MIRR &gt; WACC ("&amp;TEXT($B$6,"0%")&amp;")"</f>
        <v>MIRR &gt; WACC (12%)</v>
      </c>
      <c r="D19" s="19" t="str">
        <f>$B$69</f>
        <v>ACCEPT</v>
      </c>
    </row>
    <row r="20" spans="1:7">
      <c r="A20" s="4" t="s">
        <v>77</v>
      </c>
      <c r="B20" s="22">
        <f>$B$83</f>
        <v>3.35</v>
      </c>
      <c r="C20" s="21" t="str">
        <f>"Payback &lt;= "&amp;TEXT($B$7,"0.0")&amp;" years"</f>
        <v>Payback &lt;= 4.0 years</v>
      </c>
      <c r="D20" s="19" t="str">
        <f>$B$85</f>
        <v>ACCEPT</v>
      </c>
    </row>
    <row r="21" spans="1:7">
      <c r="A21" s="4" t="s">
        <v>85</v>
      </c>
      <c r="B21" s="22">
        <f>$B$99</f>
        <v>4.28767138909091</v>
      </c>
      <c r="C21" s="21" t="str">
        <f>"Discounted payback &lt;= "&amp;TEXT($B$12,"0")&amp;" years"</f>
        <v>Discounted payback &lt;= 5 years</v>
      </c>
      <c r="D21" s="19" t="str">
        <f>$B$101</f>
        <v>ACCEPT</v>
      </c>
    </row>
    <row r="22" spans="1:7">
      <c r="A22" s="4" t="s">
        <v>115</v>
      </c>
      <c r="B22" s="20">
        <f>$B$123</f>
        <v>0.28</v>
      </c>
      <c r="C22" s="21" t="str">
        <f>"AAR &gt; "&amp;TEXT($B$8,"0%")</f>
        <v>AAR &gt; 20%</v>
      </c>
      <c r="D22" s="19" t="str">
        <f>$B$125</f>
        <v>ACCEPT</v>
      </c>
    </row>
    <row r="23" spans="1:7">
      <c r="A23" s="4" t="s">
        <v>104</v>
      </c>
      <c r="B23" s="23">
        <f>$B$132</f>
        <v>1.1778455289276786</v>
      </c>
      <c r="C23" s="4" t="s">
        <v>116</v>
      </c>
      <c r="D23" s="19" t="str">
        <f>$B$134</f>
        <v>ACCEPT</v>
      </c>
    </row>
    <row r="24" spans="1:7">
      <c r="A24" s="10" t="s">
        <v>117</v>
      </c>
    </row>
    <row r="26" spans="1:7">
      <c r="A26" s="5" t="s">
        <v>44</v>
      </c>
      <c r="B26" s="5"/>
      <c r="C26" s="5"/>
      <c r="D26" s="5"/>
      <c r="E26" s="5"/>
      <c r="F26" s="5"/>
      <c r="G26" s="5"/>
    </row>
    <row r="27" spans="1:7">
      <c r="A27" s="10" t="s">
        <v>45</v>
      </c>
    </row>
    <row r="28" spans="1:7">
      <c r="A28" s="5" t="s">
        <v>46</v>
      </c>
      <c r="B28" s="18" t="s">
        <v>41</v>
      </c>
      <c r="C28" s="18" t="s">
        <v>47</v>
      </c>
      <c r="D28" s="18" t="s">
        <v>48</v>
      </c>
      <c r="E28" s="18" t="s">
        <v>49</v>
      </c>
    </row>
    <row r="29" spans="1:7">
      <c r="A29" s="24">
        <f>$B$10</f>
        <v>0</v>
      </c>
      <c r="B29" s="16">
        <f>$B$11</f>
        <v>-50000.0</v>
      </c>
      <c r="C29" s="25">
        <f>1/(1+$B$6)^A29</f>
        <v>1.0</v>
      </c>
      <c r="D29" s="16">
        <f>B29*C29</f>
        <v>-50000.0</v>
      </c>
      <c r="E29" s="16">
        <f>D29</f>
        <v>-50000.0</v>
      </c>
    </row>
    <row r="30" spans="1:7">
      <c r="A30" s="24">
        <f>$C$10</f>
        <v>1</v>
      </c>
      <c r="B30" s="16">
        <f>$C$11</f>
        <v>10000.0</v>
      </c>
      <c r="C30" s="25">
        <f>1/(1+$B$6)^A30</f>
        <v>0.8928571428571428</v>
      </c>
      <c r="D30" s="16">
        <f>B30*C30</f>
        <v>8928.571428571428</v>
      </c>
      <c r="E30" s="16">
        <f>E29+D30</f>
        <v>-41071.42857142857</v>
      </c>
    </row>
    <row r="31" spans="1:7">
      <c r="A31" s="24">
        <f>$D$10</f>
        <v>2</v>
      </c>
      <c r="B31" s="16">
        <f>$D$11</f>
        <v>15000.0</v>
      </c>
      <c r="C31" s="25">
        <f>1/(1+$B$6)^A31</f>
        <v>0.7971938775510203</v>
      </c>
      <c r="D31" s="16">
        <f>B31*C31</f>
        <v>11957.908163265305</v>
      </c>
      <c r="E31" s="16">
        <f>E30+D31</f>
        <v>-29113.52040816327</v>
      </c>
    </row>
    <row r="32" spans="1:7">
      <c r="A32" s="24">
        <f>$E$10</f>
        <v>3</v>
      </c>
      <c r="B32" s="16">
        <f>$E$11</f>
        <v>18000.0</v>
      </c>
      <c r="C32" s="25">
        <f>1/(1+$B$6)^A32</f>
        <v>0.7117802478134109</v>
      </c>
      <c r="D32" s="16">
        <f>B32*C32</f>
        <v>12812.044460641395</v>
      </c>
      <c r="E32" s="16">
        <f>E31+D32</f>
        <v>-16301.475947521874</v>
      </c>
    </row>
    <row r="33" spans="1:7">
      <c r="A33" s="24">
        <f>$F$10</f>
        <v>4</v>
      </c>
      <c r="B33" s="16">
        <f>$F$11</f>
        <v>20000.0</v>
      </c>
      <c r="C33" s="25">
        <f>1/(1+$B$6)^A33</f>
        <v>0.6355180784048311</v>
      </c>
      <c r="D33" s="16">
        <f>B33*C33</f>
        <v>12710.361568096621</v>
      </c>
      <c r="E33" s="16">
        <f>E32+D33</f>
        <v>-3591.114379425253</v>
      </c>
    </row>
    <row r="34" spans="1:7">
      <c r="A34" s="24">
        <f>$G$10</f>
        <v>5</v>
      </c>
      <c r="B34" s="16">
        <f>$G$11</f>
        <v>22000.0</v>
      </c>
      <c r="C34" s="25">
        <f>1/(1+$B$6)^A34</f>
        <v>0.5674268557185992</v>
      </c>
      <c r="D34" s="16">
        <f>B34*C34</f>
        <v>12483.390825809181</v>
      </c>
      <c r="E34" s="16">
        <f>E33+D34</f>
        <v>8892.276446383928</v>
      </c>
    </row>
    <row r="35" spans="1:7">
      <c r="A35" s="4" t="s">
        <v>50</v>
      </c>
      <c r="B35" s="16">
        <f>E34</f>
        <v>8892.276446383928</v>
      </c>
    </row>
    <row r="36" spans="1:7">
      <c r="A36" s="4" t="s">
        <v>51</v>
      </c>
      <c r="B36" s="26">
        <f>NPV($B$6,$C$11:$G$11)+$B$11</f>
        <v>8892.276446383934</v>
      </c>
    </row>
    <row r="37" spans="1:7">
      <c r="A37" s="10" t="s">
        <v>52</v>
      </c>
    </row>
    <row r="38" spans="1:7">
      <c r="A38" s="4" t="s">
        <v>53</v>
      </c>
      <c r="B38" s="19" t="str">
        <f>IF($B$36&gt;0,"ACCEPT","REJECT")</f>
        <v>ACCEPT</v>
      </c>
    </row>
    <row r="40" spans="1:7">
      <c r="A40" s="5" t="s">
        <v>54</v>
      </c>
      <c r="B40" s="5"/>
      <c r="C40" s="5"/>
      <c r="D40" s="5"/>
      <c r="E40" s="5"/>
      <c r="F40" s="5"/>
      <c r="G40" s="5"/>
    </row>
    <row r="41" spans="1:7">
      <c r="A41" s="10" t="s">
        <v>55</v>
      </c>
    </row>
    <row r="42" spans="1:7">
      <c r="A42" s="4" t="s">
        <v>56</v>
      </c>
      <c r="B42" s="27">
        <f>IRR($B$11:$G$11)</f>
        <v>0.18104765232430686</v>
      </c>
    </row>
    <row r="43" spans="1:7">
      <c r="A43" s="4" t="s">
        <v>57</v>
      </c>
      <c r="B43" s="20">
        <f>$B$6</f>
        <v>0.12</v>
      </c>
    </row>
    <row r="44" spans="1:7">
      <c r="A44" s="4" t="s">
        <v>58</v>
      </c>
      <c r="B44" s="20">
        <f>$B$42-$B$6</f>
        <v>0.06104765232430687</v>
      </c>
    </row>
    <row r="45" spans="1:7">
      <c r="A45" s="4" t="s">
        <v>53</v>
      </c>
      <c r="B45" s="19" t="str">
        <f>IF($B$42&gt;$B$6,"ACCEPT","REJECT")</f>
        <v>ACCEPT</v>
      </c>
    </row>
    <row r="47" spans="1:7">
      <c r="A47" s="10" t="s">
        <v>59</v>
      </c>
    </row>
    <row r="48" spans="1:7">
      <c r="A48" s="5" t="s">
        <v>46</v>
      </c>
      <c r="B48" s="18" t="s">
        <v>41</v>
      </c>
      <c r="C48" s="18" t="s">
        <v>60</v>
      </c>
      <c r="D48" s="18" t="s">
        <v>48</v>
      </c>
      <c r="E48" s="18" t="s">
        <v>49</v>
      </c>
    </row>
    <row r="49" spans="1:7">
      <c r="A49" s="24">
        <f>$B$10</f>
        <v>0</v>
      </c>
      <c r="B49" s="16">
        <f>$B$11</f>
        <v>-50000.0</v>
      </c>
      <c r="C49" s="25">
        <f>1/(1+$B$42)^A49</f>
        <v>1.0</v>
      </c>
      <c r="D49" s="16">
        <f>B49*C49</f>
        <v>-50000.0</v>
      </c>
      <c r="E49" s="16">
        <f>D49</f>
        <v>-50000.0</v>
      </c>
    </row>
    <row r="50" spans="1:7">
      <c r="A50" s="24">
        <f>$C$10</f>
        <v>1</v>
      </c>
      <c r="B50" s="16">
        <f>$C$11</f>
        <v>10000.0</v>
      </c>
      <c r="C50" s="25">
        <f>1/(1+$B$42)^A50</f>
        <v>0.8467058869572245</v>
      </c>
      <c r="D50" s="16">
        <f>B50*C50</f>
        <v>8467.058869572245</v>
      </c>
      <c r="E50" s="16">
        <f>E49+D50</f>
        <v>-41532.94113042775</v>
      </c>
    </row>
    <row r="51" spans="1:7">
      <c r="A51" s="24">
        <f>$D$10</f>
        <v>2</v>
      </c>
      <c r="B51" s="16">
        <f>$D$11</f>
        <v>15000.0</v>
      </c>
      <c r="C51" s="25">
        <f>1/(1+$B$42)^A51</f>
        <v>0.7169108590080202</v>
      </c>
      <c r="D51" s="16">
        <f>B51*C51</f>
        <v>10753.662885120302</v>
      </c>
      <c r="E51" s="16">
        <f>E50+D51</f>
        <v>-30779.27824530745</v>
      </c>
    </row>
    <row r="52" spans="1:7">
      <c r="A52" s="24">
        <f>$E$10</f>
        <v>3</v>
      </c>
      <c r="B52" s="16">
        <f>$E$11</f>
        <v>18000.0</v>
      </c>
      <c r="C52" s="25">
        <f>1/(1+$B$42)^A52</f>
        <v>0.6070126447456514</v>
      </c>
      <c r="D52" s="16">
        <f>B52*C52</f>
        <v>10926.227605421725</v>
      </c>
      <c r="E52" s="16">
        <f>E51+D52</f>
        <v>-19853.050639885725</v>
      </c>
    </row>
    <row r="53" spans="1:7">
      <c r="A53" s="24">
        <f>$F$10</f>
        <v>4</v>
      </c>
      <c r="B53" s="16">
        <f>$F$11</f>
        <v>20000.0</v>
      </c>
      <c r="C53" s="25">
        <f>1/(1+$B$42)^A53</f>
        <v>0.5139611797636173</v>
      </c>
      <c r="D53" s="16">
        <f>B53*C53</f>
        <v>10279.223595272346</v>
      </c>
      <c r="E53" s="16">
        <f>E52+D53</f>
        <v>-9573.82704461338</v>
      </c>
    </row>
    <row r="54" spans="1:7">
      <c r="A54" s="24">
        <f>$G$10</f>
        <v>5</v>
      </c>
      <c r="B54" s="16">
        <f>$G$11</f>
        <v>22000.0</v>
      </c>
      <c r="C54" s="25">
        <f>1/(1+$B$42)^A54</f>
        <v>0.43517395657333513</v>
      </c>
      <c r="D54" s="16">
        <f>B54*C54</f>
        <v>9573.827044613372</v>
      </c>
      <c r="E54" s="16">
        <f>E53+D54</f>
        <v>-7.275957614183426e-12</v>
      </c>
    </row>
    <row r="56" spans="1:7">
      <c r="A56" s="5" t="s">
        <v>61</v>
      </c>
      <c r="B56" s="5"/>
      <c r="C56" s="5"/>
      <c r="D56" s="5"/>
      <c r="E56" s="5"/>
      <c r="F56" s="5"/>
      <c r="G56" s="5"/>
    </row>
    <row r="57" spans="1:7">
      <c r="A57" s="10" t="s">
        <v>62</v>
      </c>
    </row>
    <row r="58" spans="1:7">
      <c r="A58" s="5" t="s">
        <v>46</v>
      </c>
      <c r="B58" s="18" t="s">
        <v>63</v>
      </c>
      <c r="C58" s="18" t="s">
        <v>64</v>
      </c>
      <c r="D58" s="18" t="s">
        <v>65</v>
      </c>
    </row>
    <row r="59" spans="1:7">
      <c r="A59" s="24">
        <f>$C$10</f>
        <v>1</v>
      </c>
      <c r="B59" s="16">
        <f>$C$11</f>
        <v>10000.0</v>
      </c>
      <c r="C59" s="17">
        <f>$B$12-A59</f>
        <v>4</v>
      </c>
      <c r="D59" s="16">
        <f>B59*(1+$B$6)^C59</f>
        <v>15735.193600000006</v>
      </c>
    </row>
    <row r="60" spans="1:7">
      <c r="A60" s="24">
        <f>$D$10</f>
        <v>2</v>
      </c>
      <c r="B60" s="16">
        <f>$D$11</f>
        <v>15000.0</v>
      </c>
      <c r="C60" s="17">
        <f>$B$12-A60</f>
        <v>3</v>
      </c>
      <c r="D60" s="16">
        <f>B60*(1+$B$6)^C60</f>
        <v>21073.920000000006</v>
      </c>
    </row>
    <row r="61" spans="1:7">
      <c r="A61" s="24">
        <f>$E$10</f>
        <v>3</v>
      </c>
      <c r="B61" s="16">
        <f>$E$11</f>
        <v>18000.0</v>
      </c>
      <c r="C61" s="17">
        <f>$B$12-A61</f>
        <v>2</v>
      </c>
      <c r="D61" s="16">
        <f>B61*(1+$B$6)^C61</f>
        <v>22579.200000000004</v>
      </c>
    </row>
    <row r="62" spans="1:7">
      <c r="A62" s="24">
        <f>$F$10</f>
        <v>4</v>
      </c>
      <c r="B62" s="16">
        <f>$F$11</f>
        <v>20000.0</v>
      </c>
      <c r="C62" s="17">
        <f>$B$12-A62</f>
        <v>1</v>
      </c>
      <c r="D62" s="16">
        <f>B62*(1+$B$6)^C62</f>
        <v>22400.000000000004</v>
      </c>
    </row>
    <row r="63" spans="1:7">
      <c r="A63" s="24">
        <f>$G$10</f>
        <v>5</v>
      </c>
      <c r="B63" s="16">
        <f>$G$11</f>
        <v>22000.0</v>
      </c>
      <c r="C63" s="17">
        <f>$B$12-A63</f>
        <v>0</v>
      </c>
      <c r="D63" s="16">
        <f>B63*(1+$B$6)^C63</f>
        <v>22000.0</v>
      </c>
    </row>
    <row r="64" spans="1:7">
      <c r="A64" s="4" t="s">
        <v>66</v>
      </c>
      <c r="D64" s="16">
        <f>SUM(D59:D63)</f>
        <v>103788.31360000002</v>
      </c>
    </row>
    <row r="65" spans="1:7">
      <c r="A65" s="4" t="s">
        <v>67</v>
      </c>
      <c r="B65" s="16">
        <f>$B$5</f>
        <v>50000.0</v>
      </c>
    </row>
    <row r="66" spans="1:7">
      <c r="A66" s="4" t="s">
        <v>68</v>
      </c>
      <c r="B66" s="20">
        <f>($D$64/$B$65)^(1/$B$12)-1</f>
        <v>0.1572726519039218</v>
      </c>
    </row>
    <row r="67" spans="1:7">
      <c r="A67" s="4" t="s">
        <v>69</v>
      </c>
      <c r="B67" s="27">
        <f>MIRR($B$11:$G$11,$B$6,$B$6)</f>
        <v>0.1572726519039218</v>
      </c>
    </row>
    <row r="68" spans="1:7">
      <c r="A68" s="10" t="s">
        <v>70</v>
      </c>
    </row>
    <row r="69" spans="1:7">
      <c r="A69" s="4" t="s">
        <v>53</v>
      </c>
      <c r="B69" s="19" t="str">
        <f>IF($B$67&gt;$B$6,"ACCEPT","REJECT")</f>
        <v>ACCEPT</v>
      </c>
    </row>
    <row r="70" spans="1:7">
      <c r="A70" s="10" t="s">
        <v>71</v>
      </c>
    </row>
    <row r="72" spans="1:7">
      <c r="A72" s="5" t="s">
        <v>72</v>
      </c>
      <c r="B72" s="5"/>
      <c r="C72" s="5"/>
      <c r="D72" s="5"/>
      <c r="E72" s="5"/>
      <c r="F72" s="5"/>
      <c r="G72" s="5"/>
    </row>
    <row r="73" spans="1:7">
      <c r="A73" s="10" t="s">
        <v>73</v>
      </c>
    </row>
    <row r="74" spans="1:7">
      <c r="A74" s="5" t="s">
        <v>46</v>
      </c>
      <c r="B74" s="18" t="s">
        <v>41</v>
      </c>
      <c r="C74" s="18" t="s">
        <v>74</v>
      </c>
    </row>
    <row r="75" spans="1:7">
      <c r="A75" s="24">
        <f>$B$10</f>
        <v>0</v>
      </c>
      <c r="B75" s="16">
        <f>$B$11</f>
        <v>-50000.0</v>
      </c>
      <c r="C75" s="16">
        <f>B75</f>
        <v>-50000.0</v>
      </c>
    </row>
    <row r="76" spans="1:7">
      <c r="A76" s="24">
        <f>$C$10</f>
        <v>1</v>
      </c>
      <c r="B76" s="16">
        <f>$C$11</f>
        <v>10000.0</v>
      </c>
      <c r="C76" s="16">
        <f>C75+B76</f>
        <v>-40000.0</v>
      </c>
    </row>
    <row r="77" spans="1:7">
      <c r="A77" s="24">
        <f>$D$10</f>
        <v>2</v>
      </c>
      <c r="B77" s="16">
        <f>$D$11</f>
        <v>15000.0</v>
      </c>
      <c r="C77" s="16">
        <f>C76+B77</f>
        <v>-25000.0</v>
      </c>
    </row>
    <row r="78" spans="1:7">
      <c r="A78" s="24">
        <f>$E$10</f>
        <v>3</v>
      </c>
      <c r="B78" s="16">
        <f>$E$11</f>
        <v>18000.0</v>
      </c>
      <c r="C78" s="16">
        <f>C77+B78</f>
        <v>-7000.0</v>
      </c>
    </row>
    <row r="79" spans="1:7">
      <c r="A79" s="24">
        <f>$F$10</f>
        <v>4</v>
      </c>
      <c r="B79" s="16">
        <f>$F$11</f>
        <v>20000.0</v>
      </c>
      <c r="C79" s="16">
        <f>C78+B79</f>
        <v>13000.0</v>
      </c>
    </row>
    <row r="80" spans="1:7">
      <c r="A80" s="24">
        <f>$G$10</f>
        <v>5</v>
      </c>
      <c r="B80" s="16">
        <f>$G$11</f>
        <v>22000.0</v>
      </c>
      <c r="C80" s="16">
        <f>C79+B80</f>
        <v>35000.0</v>
      </c>
    </row>
    <row r="81" spans="1:7">
      <c r="A81" s="4" t="s">
        <v>75</v>
      </c>
      <c r="B81" s="17">
        <f>COUNTIF($C$75:$C$80,"&lt;0")</f>
        <v>4</v>
      </c>
    </row>
    <row r="82" spans="1:7">
      <c r="A82" s="4" t="s">
        <v>76</v>
      </c>
      <c r="B82" s="17">
        <f>$B$81-1</f>
        <v>3</v>
      </c>
    </row>
    <row r="83" spans="1:7">
      <c r="A83" s="4" t="s">
        <v>77</v>
      </c>
      <c r="B83" s="28">
        <f>IF($C$80&lt;0,"Not recovered",($B$81-1)+ABS(INDEX($C$75:$C$80,$B$81))/INDEX($B$75:$B$80,$B$81+1))</f>
        <v>3.35</v>
      </c>
    </row>
    <row r="84" spans="1:7">
      <c r="A84" s="4" t="s">
        <v>38</v>
      </c>
      <c r="B84" s="22">
        <f>$B$7</f>
        <v>4.0</v>
      </c>
    </row>
    <row r="85" spans="1:7">
      <c r="A85" s="4" t="s">
        <v>53</v>
      </c>
      <c r="B85" s="19" t="str">
        <f>IF(ISNUMBER($B$83),IF($B$83&lt;=$B$7,"ACCEPT","REJECT"),"REJECT")</f>
        <v>ACCEPT</v>
      </c>
    </row>
    <row r="86" spans="1:7">
      <c r="A86" s="10" t="s">
        <v>78</v>
      </c>
    </row>
    <row r="88" spans="1:7">
      <c r="A88" s="5" t="s">
        <v>79</v>
      </c>
      <c r="B88" s="5"/>
      <c r="C88" s="5"/>
      <c r="D88" s="5"/>
      <c r="E88" s="5"/>
      <c r="F88" s="5"/>
      <c r="G88" s="5"/>
    </row>
    <row r="89" spans="1:7">
      <c r="A89" s="10" t="s">
        <v>80</v>
      </c>
    </row>
    <row r="90" spans="1:7">
      <c r="A90" s="5" t="s">
        <v>46</v>
      </c>
      <c r="B90" s="18" t="s">
        <v>41</v>
      </c>
      <c r="C90" s="18" t="s">
        <v>81</v>
      </c>
      <c r="D90" s="18" t="s">
        <v>82</v>
      </c>
    </row>
    <row r="91" spans="1:7">
      <c r="A91" s="24">
        <f>$B$10</f>
        <v>0</v>
      </c>
      <c r="B91" s="16">
        <f>$B$11</f>
        <v>-50000.0</v>
      </c>
      <c r="C91" s="16">
        <f>B91/(1+$B$6)^A91</f>
        <v>-50000.0</v>
      </c>
      <c r="D91" s="16">
        <f>C91</f>
        <v>-50000.0</v>
      </c>
    </row>
    <row r="92" spans="1:7">
      <c r="A92" s="24">
        <f>$C$10</f>
        <v>1</v>
      </c>
      <c r="B92" s="16">
        <f>$C$11</f>
        <v>10000.0</v>
      </c>
      <c r="C92" s="16">
        <f>B92/(1+$B$6)^A92</f>
        <v>8928.571428571428</v>
      </c>
      <c r="D92" s="16">
        <f>D91+C92</f>
        <v>-41071.42857142857</v>
      </c>
    </row>
    <row r="93" spans="1:7">
      <c r="A93" s="24">
        <f>$D$10</f>
        <v>2</v>
      </c>
      <c r="B93" s="16">
        <f>$D$11</f>
        <v>15000.0</v>
      </c>
      <c r="C93" s="16">
        <f>B93/(1+$B$6)^A93</f>
        <v>11957.908163265305</v>
      </c>
      <c r="D93" s="16">
        <f>D92+C93</f>
        <v>-29113.52040816327</v>
      </c>
    </row>
    <row r="94" spans="1:7">
      <c r="A94" s="24">
        <f>$E$10</f>
        <v>3</v>
      </c>
      <c r="B94" s="16">
        <f>$E$11</f>
        <v>18000.0</v>
      </c>
      <c r="C94" s="16">
        <f>B94/(1+$B$6)^A94</f>
        <v>12812.044460641397</v>
      </c>
      <c r="D94" s="16">
        <f>D93+C94</f>
        <v>-16301.475947521873</v>
      </c>
    </row>
    <row r="95" spans="1:7">
      <c r="A95" s="24">
        <f>$F$10</f>
        <v>4</v>
      </c>
      <c r="B95" s="16">
        <f>$F$11</f>
        <v>20000.0</v>
      </c>
      <c r="C95" s="16">
        <f>B95/(1+$B$6)^A95</f>
        <v>12710.361568096621</v>
      </c>
      <c r="D95" s="16">
        <f>D94+C95</f>
        <v>-3591.114379425251</v>
      </c>
    </row>
    <row r="96" spans="1:7">
      <c r="A96" s="24">
        <f>$G$10</f>
        <v>5</v>
      </c>
      <c r="B96" s="16">
        <f>$G$11</f>
        <v>22000.0</v>
      </c>
      <c r="C96" s="16">
        <f>B96/(1+$B$6)^A96</f>
        <v>12483.390825809181</v>
      </c>
      <c r="D96" s="16">
        <f>D95+C96</f>
        <v>8892.27644638393</v>
      </c>
    </row>
    <row r="97" spans="1:7">
      <c r="A97" s="10" t="s">
        <v>83</v>
      </c>
    </row>
    <row r="98" spans="1:7">
      <c r="A98" s="4" t="s">
        <v>84</v>
      </c>
      <c r="B98" s="17">
        <f>COUNTIF($D$91:$D$96,"&lt;0")</f>
        <v>5</v>
      </c>
    </row>
    <row r="99" spans="1:7">
      <c r="A99" s="4" t="s">
        <v>85</v>
      </c>
      <c r="B99" s="28">
        <f>IF($D$96&lt;0,"Not recovered",($B$98-1)+ABS(INDEX($D$91:$D$96,$B$98))/INDEX($C$91:$C$96,$B$98+1))</f>
        <v>4.28767138909091</v>
      </c>
    </row>
    <row r="100" spans="1:7">
      <c r="A100" s="4" t="s">
        <v>86</v>
      </c>
      <c r="B100" s="22">
        <f>$B$12</f>
        <v>5</v>
      </c>
    </row>
    <row r="101" spans="1:7">
      <c r="A101" s="4" t="s">
        <v>53</v>
      </c>
      <c r="B101" s="19" t="str">
        <f>IF(ISNUMBER($B$99),IF($B$99&lt;=$B$12,"ACCEPT","REJECT"),"REJECT")</f>
        <v>ACCEPT</v>
      </c>
    </row>
    <row r="103" spans="1:7">
      <c r="A103" s="5" t="s">
        <v>87</v>
      </c>
      <c r="B103" s="5"/>
      <c r="C103" s="5"/>
      <c r="D103" s="5"/>
      <c r="E103" s="5"/>
      <c r="F103" s="5"/>
      <c r="G103" s="5"/>
    </row>
    <row r="104" spans="1:7">
      <c r="A104" s="10" t="s">
        <v>88</v>
      </c>
    </row>
    <row r="105" spans="1:7">
      <c r="A105" s="4" t="s">
        <v>89</v>
      </c>
      <c r="B105" s="16">
        <f>$B$5/$B$12</f>
        <v>10000.0</v>
      </c>
    </row>
    <row r="106" spans="1:7">
      <c r="A106" s="10" t="s">
        <v>90</v>
      </c>
    </row>
    <row r="107" spans="1:7">
      <c r="A107" s="5" t="s">
        <v>46</v>
      </c>
      <c r="B107" s="18" t="s">
        <v>41</v>
      </c>
      <c r="C107" s="18" t="s">
        <v>91</v>
      </c>
      <c r="D107" s="18" t="s">
        <v>92</v>
      </c>
    </row>
    <row r="108" spans="1:7">
      <c r="A108" s="24">
        <f>$C$10</f>
        <v>1</v>
      </c>
      <c r="B108" s="16">
        <f>$C$11</f>
        <v>10000.0</v>
      </c>
      <c r="C108" s="16">
        <f>$B$105</f>
        <v>10000.0</v>
      </c>
      <c r="D108" s="16">
        <f>B108-C108</f>
        <v>0.0</v>
      </c>
    </row>
    <row r="109" spans="1:7">
      <c r="A109" s="24">
        <f>$D$10</f>
        <v>2</v>
      </c>
      <c r="B109" s="16">
        <f>$D$11</f>
        <v>15000.0</v>
      </c>
      <c r="C109" s="16">
        <f>$B$105</f>
        <v>10000.0</v>
      </c>
      <c r="D109" s="16">
        <f>B109-C109</f>
        <v>5000.0</v>
      </c>
    </row>
    <row r="110" spans="1:7">
      <c r="A110" s="24">
        <f>$E$10</f>
        <v>3</v>
      </c>
      <c r="B110" s="16">
        <f>$E$11</f>
        <v>18000.0</v>
      </c>
      <c r="C110" s="16">
        <f>$B$105</f>
        <v>10000.0</v>
      </c>
      <c r="D110" s="16">
        <f>B110-C110</f>
        <v>8000.0</v>
      </c>
    </row>
    <row r="111" spans="1:7">
      <c r="A111" s="24">
        <f>$F$10</f>
        <v>4</v>
      </c>
      <c r="B111" s="16">
        <f>$F$11</f>
        <v>20000.0</v>
      </c>
      <c r="C111" s="16">
        <f>$B$105</f>
        <v>10000.0</v>
      </c>
      <c r="D111" s="16">
        <f>B111-C111</f>
        <v>10000.0</v>
      </c>
    </row>
    <row r="112" spans="1:7">
      <c r="A112" s="24">
        <f>$G$10</f>
        <v>5</v>
      </c>
      <c r="B112" s="16">
        <f>$G$11</f>
        <v>22000.0</v>
      </c>
      <c r="C112" s="16">
        <f>$B$105</f>
        <v>10000.0</v>
      </c>
      <c r="D112" s="16">
        <f>B112-C112</f>
        <v>12000.0</v>
      </c>
    </row>
    <row r="113" spans="1:7">
      <c r="A113" s="4" t="s">
        <v>93</v>
      </c>
      <c r="D113" s="16">
        <f>AVERAGE(D108:D112)</f>
        <v>7000.0</v>
      </c>
    </row>
    <row r="115" spans="1:7">
      <c r="A115" s="5" t="s">
        <v>46</v>
      </c>
      <c r="B115" s="18" t="s">
        <v>94</v>
      </c>
      <c r="C115" s="18" t="s">
        <v>91</v>
      </c>
      <c r="D115" s="18" t="s">
        <v>95</v>
      </c>
    </row>
    <row r="116" spans="1:7">
      <c r="A116" s="24">
        <f>$C$10</f>
        <v>1</v>
      </c>
      <c r="B116" s="16">
        <f>$B$5</f>
        <v>50000.0</v>
      </c>
      <c r="C116" s="16">
        <f>$B$105</f>
        <v>10000.0</v>
      </c>
      <c r="D116" s="16">
        <f>B116-C116</f>
        <v>40000.0</v>
      </c>
    </row>
    <row r="117" spans="1:7">
      <c r="A117" s="24">
        <f>$D$10</f>
        <v>2</v>
      </c>
      <c r="B117" s="16">
        <f>D116</f>
        <v>40000.0</v>
      </c>
      <c r="C117" s="16">
        <f>$B$105</f>
        <v>10000.0</v>
      </c>
      <c r="D117" s="16">
        <f>B117-C117</f>
        <v>30000.0</v>
      </c>
    </row>
    <row r="118" spans="1:7">
      <c r="A118" s="24">
        <f>$E$10</f>
        <v>3</v>
      </c>
      <c r="B118" s="16">
        <f>D117</f>
        <v>30000.0</v>
      </c>
      <c r="C118" s="16">
        <f>$B$105</f>
        <v>10000.0</v>
      </c>
      <c r="D118" s="16">
        <f>B118-C118</f>
        <v>20000.0</v>
      </c>
    </row>
    <row r="119" spans="1:7">
      <c r="A119" s="24">
        <f>$F$10</f>
        <v>4</v>
      </c>
      <c r="B119" s="16">
        <f>D118</f>
        <v>20000.0</v>
      </c>
      <c r="C119" s="16">
        <f>$B$105</f>
        <v>10000.0</v>
      </c>
      <c r="D119" s="16">
        <f>B119-C119</f>
        <v>10000.0</v>
      </c>
    </row>
    <row r="120" spans="1:7">
      <c r="A120" s="24">
        <f>$G$10</f>
        <v>5</v>
      </c>
      <c r="B120" s="16">
        <f>D119</f>
        <v>10000.0</v>
      </c>
      <c r="C120" s="16">
        <f>$B$105</f>
        <v>10000.0</v>
      </c>
      <c r="D120" s="16">
        <f>B120-C120</f>
        <v>0.0</v>
      </c>
    </row>
    <row r="121" spans="1:7">
      <c r="A121" s="4" t="s">
        <v>96</v>
      </c>
      <c r="B121" s="16">
        <f>AVERAGE(B116:B120,D120)</f>
        <v>25000.0</v>
      </c>
    </row>
    <row r="122" spans="1:7">
      <c r="A122" s="10" t="s">
        <v>97</v>
      </c>
    </row>
    <row r="123" spans="1:7">
      <c r="A123" s="4" t="s">
        <v>98</v>
      </c>
      <c r="B123" s="27">
        <f>$D$113/$B$121</f>
        <v>0.28</v>
      </c>
    </row>
    <row r="124" spans="1:7">
      <c r="A124" s="4" t="s">
        <v>39</v>
      </c>
      <c r="B124" s="20">
        <f>$B$8</f>
        <v>0.2</v>
      </c>
    </row>
    <row r="125" spans="1:7">
      <c r="A125" s="4" t="s">
        <v>53</v>
      </c>
      <c r="B125" s="19" t="str">
        <f>IF($B$123&gt;$B$8,"ACCEPT","REJECT")</f>
        <v>ACCEPT</v>
      </c>
    </row>
    <row r="126" spans="1:7">
      <c r="A126" s="10" t="s">
        <v>99</v>
      </c>
    </row>
    <row r="128" spans="1:7">
      <c r="A128" s="5" t="s">
        <v>100</v>
      </c>
      <c r="B128" s="5"/>
      <c r="C128" s="5"/>
      <c r="D128" s="5"/>
      <c r="E128" s="5"/>
      <c r="F128" s="5"/>
      <c r="G128" s="5"/>
    </row>
    <row r="129" spans="1:2">
      <c r="A129" s="10" t="s">
        <v>101</v>
      </c>
    </row>
    <row r="130" spans="1:2">
      <c r="A130" s="4" t="s">
        <v>102</v>
      </c>
      <c r="B130" s="16">
        <f>NPV($B$6,$C$11:$G$11)</f>
        <v>58892.276446383934</v>
      </c>
    </row>
    <row r="131" spans="1:2">
      <c r="A131" s="4" t="s">
        <v>103</v>
      </c>
      <c r="B131" s="16">
        <f>$B$5</f>
        <v>50000.0</v>
      </c>
    </row>
    <row r="132" spans="1:2">
      <c r="A132" s="4" t="s">
        <v>104</v>
      </c>
      <c r="B132" s="29">
        <f>$B$130/$B$5</f>
        <v>1.1778455289276786</v>
      </c>
    </row>
    <row r="133" spans="1:2">
      <c r="A133" s="4" t="s">
        <v>105</v>
      </c>
      <c r="B133" s="30">
        <f>$B$132-1</f>
        <v>0.17784552892767858</v>
      </c>
    </row>
    <row r="134" spans="1:2">
      <c r="A134" s="4" t="s">
        <v>53</v>
      </c>
      <c r="B134" s="19" t="str">
        <f>IF($B$132&gt;1,"ACCEPT","REJECT")</f>
        <v>ACCEPT</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3"/>
  <sheetViews>
    <sheetView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40.7109375" customWidth="1"/>
    <col min="2" max="13" width="14.7109375" customWidth="1"/>
  </cols>
  <sheetData>
    <row r="1" spans="1:7" ht="21" customHeight="1">
      <c r="A1" s="2" t="s">
        <v>118</v>
      </c>
    </row>
    <row r="2" spans="1:7">
      <c r="A2" s="10" t="s">
        <v>119</v>
      </c>
    </row>
    <row r="4" spans="1:7">
      <c r="A4" s="5" t="s">
        <v>35</v>
      </c>
      <c r="B4" s="5"/>
      <c r="C4" s="5"/>
      <c r="D4" s="5"/>
      <c r="E4" s="5"/>
      <c r="F4" s="5"/>
      <c r="G4" s="5"/>
    </row>
    <row r="5" spans="1:7">
      <c r="A5" s="4" t="s">
        <v>37</v>
      </c>
      <c r="B5" s="13">
        <v>0.12</v>
      </c>
    </row>
    <row r="7" spans="1:7">
      <c r="A7" s="5" t="s">
        <v>41</v>
      </c>
      <c r="B7" s="15">
        <v>0</v>
      </c>
      <c r="C7" s="15">
        <v>1</v>
      </c>
      <c r="D7" s="15">
        <v>2</v>
      </c>
      <c r="E7" s="15">
        <v>3</v>
      </c>
    </row>
    <row r="8" spans="1:7">
      <c r="A8" s="4" t="s">
        <v>120</v>
      </c>
      <c r="B8" s="12">
        <v>-30000</v>
      </c>
      <c r="C8" s="12">
        <v>15000</v>
      </c>
      <c r="D8" s="12">
        <v>14000</v>
      </c>
      <c r="E8" s="12">
        <v>13000</v>
      </c>
    </row>
    <row r="9" spans="1:7">
      <c r="A9" s="4" t="s">
        <v>121</v>
      </c>
      <c r="B9" s="12">
        <v>-30000</v>
      </c>
      <c r="C9" s="12">
        <v>5000</v>
      </c>
      <c r="D9" s="12">
        <v>12000</v>
      </c>
      <c r="E9" s="12">
        <v>28000</v>
      </c>
    </row>
    <row r="10" spans="1:7">
      <c r="A10" s="4" t="s">
        <v>122</v>
      </c>
      <c r="B10" s="16">
        <f>B9-B8</f>
        <v>0.0</v>
      </c>
      <c r="C10" s="16">
        <f>C9-C8</f>
        <v>-10000.0</v>
      </c>
      <c r="D10" s="16">
        <f>D9-D8</f>
        <v>-2000.0</v>
      </c>
      <c r="E10" s="16">
        <f>E9-E8</f>
        <v>15000.0</v>
      </c>
    </row>
    <row r="11" spans="1:7">
      <c r="A11" s="10" t="s">
        <v>123</v>
      </c>
    </row>
    <row r="12" spans="1:7">
      <c r="A12" s="10" t="s">
        <v>124</v>
      </c>
    </row>
    <row r="14" spans="1:7">
      <c r="A14" s="5" t="s">
        <v>111</v>
      </c>
      <c r="B14" s="5"/>
      <c r="C14" s="5"/>
      <c r="D14" s="5"/>
      <c r="E14" s="5"/>
      <c r="F14" s="5"/>
      <c r="G14" s="5"/>
    </row>
    <row r="15" spans="1:7">
      <c r="A15" s="5" t="s">
        <v>46</v>
      </c>
      <c r="B15" s="18" t="s">
        <v>120</v>
      </c>
      <c r="C15" s="18" t="s">
        <v>121</v>
      </c>
      <c r="D15" s="18" t="s">
        <v>47</v>
      </c>
      <c r="E15" s="18" t="s">
        <v>125</v>
      </c>
      <c r="F15" s="18" t="s">
        <v>126</v>
      </c>
    </row>
    <row r="16" spans="1:7">
      <c r="A16" s="24">
        <f>$B$7</f>
        <v>0</v>
      </c>
      <c r="B16" s="16">
        <f>$B$8</f>
        <v>-30000.0</v>
      </c>
      <c r="C16" s="16">
        <f>$B$9</f>
        <v>-30000.0</v>
      </c>
      <c r="D16" s="25">
        <f>1/(1+$B$5)^A16</f>
        <v>1.0</v>
      </c>
      <c r="E16" s="16">
        <f>B16*D16</f>
        <v>-30000.0</v>
      </c>
      <c r="F16" s="16">
        <f>C16*D16</f>
        <v>-30000.0</v>
      </c>
    </row>
    <row r="17" spans="1:7">
      <c r="A17" s="24">
        <f>$C$7</f>
        <v>1</v>
      </c>
      <c r="B17" s="16">
        <f>$C$8</f>
        <v>15000.0</v>
      </c>
      <c r="C17" s="16">
        <f>$C$9</f>
        <v>5000.0</v>
      </c>
      <c r="D17" s="25">
        <f>1/(1+$B$5)^A17</f>
        <v>0.8928571428571428</v>
      </c>
      <c r="E17" s="16">
        <f>B17*D17</f>
        <v>13392.857142857141</v>
      </c>
      <c r="F17" s="16">
        <f>C17*D17</f>
        <v>4464.285714285714</v>
      </c>
    </row>
    <row r="18" spans="1:7">
      <c r="A18" s="24">
        <f>$D$7</f>
        <v>2</v>
      </c>
      <c r="B18" s="16">
        <f>$D$8</f>
        <v>14000.0</v>
      </c>
      <c r="C18" s="16">
        <f>$D$9</f>
        <v>12000.0</v>
      </c>
      <c r="D18" s="25">
        <f>1/(1+$B$5)^A18</f>
        <v>0.7971938775510203</v>
      </c>
      <c r="E18" s="16">
        <f>B18*D18</f>
        <v>11160.714285714284</v>
      </c>
      <c r="F18" s="16">
        <f>C18*D18</f>
        <v>9566.326530612245</v>
      </c>
    </row>
    <row r="19" spans="1:7">
      <c r="A19" s="24">
        <f>$E$7</f>
        <v>3</v>
      </c>
      <c r="B19" s="16">
        <f>$E$8</f>
        <v>13000.0</v>
      </c>
      <c r="C19" s="16">
        <f>$E$9</f>
        <v>28000.0</v>
      </c>
      <c r="D19" s="25">
        <f>1/(1+$B$5)^A19</f>
        <v>0.7117802478134109</v>
      </c>
      <c r="E19" s="16">
        <f>B19*D19</f>
        <v>9253.14322157434</v>
      </c>
      <c r="F19" s="16">
        <f>C19*D19</f>
        <v>19929.846938775503</v>
      </c>
    </row>
    <row r="20" spans="1:7">
      <c r="A20" s="4" t="s">
        <v>127</v>
      </c>
      <c r="E20" s="16">
        <f>SUM(E16:E19)</f>
        <v>3806.7146501457664</v>
      </c>
      <c r="F20" s="16">
        <f>SUM(F16:F19)</f>
        <v>3960.45918367346</v>
      </c>
    </row>
    <row r="21" spans="1:7">
      <c r="A21" s="4" t="s">
        <v>128</v>
      </c>
      <c r="B21" s="26">
        <f>NPV($B$5,$C$8:$E$8)+$B$8</f>
        <v>3806.7146501457664</v>
      </c>
    </row>
    <row r="22" spans="1:7">
      <c r="A22" s="4" t="s">
        <v>129</v>
      </c>
      <c r="B22" s="26">
        <f>NPV($B$5,$C$9:$E$9)+$B$9</f>
        <v>3960.45918367346</v>
      </c>
    </row>
    <row r="24" spans="1:7">
      <c r="A24" s="5" t="s">
        <v>113</v>
      </c>
      <c r="B24" s="5"/>
      <c r="C24" s="5"/>
      <c r="D24" s="5"/>
      <c r="E24" s="5"/>
      <c r="F24" s="5"/>
      <c r="G24" s="5"/>
    </row>
    <row r="25" spans="1:7">
      <c r="A25" s="4" t="s">
        <v>130</v>
      </c>
      <c r="B25" s="27">
        <f>IRR($B$8:$E$8)</f>
        <v>0.1944362604701887</v>
      </c>
    </row>
    <row r="26" spans="1:7">
      <c r="A26" s="4" t="s">
        <v>131</v>
      </c>
      <c r="B26" s="27">
        <f>IRR($B$9:$E$9)</f>
        <v>0.1783328624950119</v>
      </c>
    </row>
    <row r="28" spans="1:7">
      <c r="A28" s="5" t="s">
        <v>132</v>
      </c>
      <c r="B28" s="5"/>
      <c r="C28" s="5"/>
      <c r="D28" s="5"/>
      <c r="E28" s="5"/>
      <c r="F28" s="5"/>
      <c r="G28" s="5"/>
    </row>
    <row r="29" spans="1:7">
      <c r="A29" s="5" t="s">
        <v>107</v>
      </c>
      <c r="B29" s="18" t="s">
        <v>120</v>
      </c>
      <c r="C29" s="18" t="s">
        <v>121</v>
      </c>
      <c r="D29" s="18" t="s">
        <v>133</v>
      </c>
    </row>
    <row r="30" spans="1:7">
      <c r="A30" s="4" t="s">
        <v>134</v>
      </c>
      <c r="B30" s="16">
        <f>$B$21</f>
        <v>3806.7146501457664</v>
      </c>
      <c r="C30" s="16">
        <f>$B$22</f>
        <v>3960.45918367346</v>
      </c>
      <c r="D30" s="19" t="str">
        <f>IF(B30&gt;C30,"A: Campus","B: Downtown")</f>
        <v>B: Downtown</v>
      </c>
    </row>
    <row r="31" spans="1:7">
      <c r="A31" s="4" t="s">
        <v>56</v>
      </c>
      <c r="B31" s="20">
        <f>$B$25</f>
        <v>0.1944362604701887</v>
      </c>
      <c r="C31" s="20">
        <f>$B$26</f>
        <v>0.1783328624950119</v>
      </c>
      <c r="D31" s="19" t="str">
        <f>IF(B31&gt;C31,"A: Campus","B: Downtown")</f>
        <v>A: Campus</v>
      </c>
    </row>
    <row r="33" spans="1:7">
      <c r="A33" s="3" t="s">
        <v>135</v>
      </c>
      <c r="B33" s="31" t="str">
        <f>IF($B$22&gt;$B$21,"Choose B: Downtown","Choose A: Campus")</f>
        <v>Choose B: Downtown</v>
      </c>
    </row>
    <row r="34" spans="1:7">
      <c r="A34" s="4" t="s">
        <v>136</v>
      </c>
      <c r="B34" s="16">
        <f>ABS($B$22-$B$21)</f>
        <v>153.74453352769342</v>
      </c>
    </row>
    <row r="36" spans="1:7">
      <c r="A36" s="10" t="s">
        <v>137</v>
      </c>
    </row>
    <row r="37" spans="1:7">
      <c r="A37" s="10" t="s">
        <v>138</v>
      </c>
    </row>
    <row r="38" spans="1:7">
      <c r="A38" s="10" t="s">
        <v>139</v>
      </c>
    </row>
    <row r="39" spans="1:7">
      <c r="A39" s="10" t="str">
        <f>"Can you really reinvest at "&amp;TEXT($B$25,"0.0%")&amp;"? NPV assumes you reinvest at the WACC of "&amp;TEXT($B$5,"0%")&amp;", which is what you can earn."</f>
        <v>Can you really reinvest at 19.4%? NPV assumes you reinvest at the WACC of 12%, which is what you can earn.</v>
      </c>
    </row>
    <row r="41" spans="1:7">
      <c r="A41" s="5" t="s">
        <v>140</v>
      </c>
      <c r="B41" s="5"/>
      <c r="C41" s="5"/>
      <c r="D41" s="5"/>
      <c r="E41" s="5"/>
      <c r="F41" s="5"/>
      <c r="G41" s="5"/>
    </row>
    <row r="42" spans="1:7">
      <c r="A42" s="4" t="s">
        <v>141</v>
      </c>
      <c r="B42" s="27">
        <f>IRR($B$10:$E$10)</f>
        <v>0.1288205727444508</v>
      </c>
    </row>
    <row r="43" spans="1:7">
      <c r="A43" s="10" t="s">
        <v>142</v>
      </c>
    </row>
    <row r="44" spans="1:7">
      <c r="A44" s="4" t="s">
        <v>143</v>
      </c>
      <c r="B44" s="13">
        <v>0</v>
      </c>
    </row>
    <row r="45" spans="1:7">
      <c r="A45" s="4" t="s">
        <v>144</v>
      </c>
      <c r="B45" s="13">
        <v>0.02</v>
      </c>
    </row>
    <row r="47" spans="1:7">
      <c r="A47" s="5" t="s">
        <v>145</v>
      </c>
      <c r="B47" s="18" t="s">
        <v>146</v>
      </c>
      <c r="C47" s="18" t="s">
        <v>147</v>
      </c>
    </row>
    <row r="48" spans="1:7">
      <c r="A48" s="32">
        <f>$B$44+0*$B$45</f>
        <v>0.0</v>
      </c>
      <c r="B48" s="16">
        <f>NPV(A48,$C$8:$E$8)+$B$8</f>
        <v>12000.0</v>
      </c>
      <c r="C48" s="16">
        <f>NPV(A48,$C$9:$E$9)+$B$9</f>
        <v>15000.0</v>
      </c>
    </row>
    <row r="49" spans="1:3">
      <c r="A49" s="32">
        <f>$B$44+1*$B$45</f>
        <v>0.02</v>
      </c>
      <c r="B49" s="16">
        <f>NPV(A49,$C$8:$E$8)+$B$8</f>
        <v>10412.43563938455</v>
      </c>
      <c r="C49" s="16">
        <f>NPV(A49,$C$9:$E$9)+$B$9</f>
        <v>12821.01152648679</v>
      </c>
    </row>
    <row r="50" spans="1:3">
      <c r="A50" s="32">
        <f>$B$44+2*$B$45</f>
        <v>0.04</v>
      </c>
      <c r="B50" s="16">
        <f>NPV(A50,$C$8:$E$8)+$B$8</f>
        <v>8923.816568047334</v>
      </c>
      <c r="C50" s="16">
        <f>NPV(A50,$C$9:$E$9)+$B$9</f>
        <v>10794.26490669094</v>
      </c>
    </row>
    <row r="51" spans="1:3">
      <c r="A51" s="32">
        <f>$B$44+3*$B$45</f>
        <v>0.06</v>
      </c>
      <c r="B51" s="16">
        <f>NPV(A51,$C$8:$E$8)+$B$8</f>
        <v>7525.9442358456945</v>
      </c>
      <c r="C51" s="16">
        <f>NPV(A51,$C$9:$E$9)+$B$9</f>
        <v>8906.278337150798</v>
      </c>
    </row>
    <row r="52" spans="1:3">
      <c r="A52" s="32">
        <f>$B$44+4*$B$45</f>
        <v>0.08</v>
      </c>
      <c r="B52" s="16">
        <f>NPV(A52,$C$8:$E$8)+$B$8</f>
        <v>6211.451506376057</v>
      </c>
      <c r="C52" s="16">
        <f>NPV(A52,$C$9:$E$9)+$B$9</f>
        <v>7144.998221815775</v>
      </c>
    </row>
    <row r="53" spans="1:3">
      <c r="A53" s="32">
        <f>$B$44+5*$B$45</f>
        <v>0.1</v>
      </c>
      <c r="B53" s="16">
        <f>NPV(A53,$C$8:$E$8)+$B$8</f>
        <v>4973.70398196844</v>
      </c>
      <c r="C53" s="16">
        <f>NPV(A53,$C$9:$E$9)+$B$9</f>
        <v>5499.624342599541</v>
      </c>
    </row>
    <row r="54" spans="1:3">
      <c r="A54" s="32">
        <f>$B$44+6*$B$45</f>
        <v>0.12</v>
      </c>
      <c r="B54" s="16">
        <f>NPV(A54,$C$8:$E$8)+$B$8</f>
        <v>3806.7146501457664</v>
      </c>
      <c r="C54" s="16">
        <f>NPV(A54,$C$9:$E$9)+$B$9</f>
        <v>3960.45918367346</v>
      </c>
    </row>
    <row r="55" spans="1:3">
      <c r="A55" s="32">
        <f>$B$44+7*$B$45</f>
        <v>0.14</v>
      </c>
      <c r="B55" s="16">
        <f>NPV(A55,$C$8:$E$8)+$B$8</f>
        <v>2705.069846052491</v>
      </c>
      <c r="C55" s="16">
        <f>NPV(A55,$C$9:$E$9)+$B$9</f>
        <v>2518.7777075807307</v>
      </c>
    </row>
    <row r="56" spans="1:3">
      <c r="A56" s="32">
        <f>$B$44+8*$B$45</f>
        <v>0.16</v>
      </c>
      <c r="B56" s="16">
        <f>NPV(A56,$C$8:$E$8)+$B$8</f>
        <v>1663.8648571077174</v>
      </c>
      <c r="C56" s="16">
        <f>NPV(A56,$C$9:$E$9)+$B$9</f>
        <v>1166.7145024396314</v>
      </c>
    </row>
    <row r="57" spans="1:3">
      <c r="A57" s="32">
        <f>$B$44+9*$B$45</f>
        <v>0.18</v>
      </c>
      <c r="B57" s="16">
        <f>NPV(A57,$C$8:$E$8)+$B$8</f>
        <v>678.647768272318</v>
      </c>
      <c r="C57" s="16">
        <f>NPV(A57,$C$9:$E$9)+$B$9</f>
        <v>-102.83427224789011</v>
      </c>
    </row>
    <row r="58" spans="1:3">
      <c r="A58" s="32">
        <f>$B$44+10*$B$45</f>
        <v>0.2</v>
      </c>
      <c r="B58" s="16">
        <f>NPV(A58,$C$8:$E$8)+$B$8</f>
        <v>-254.62962962962774</v>
      </c>
      <c r="C58" s="16">
        <f>NPV(A58,$C$9:$E$9)+$B$9</f>
        <v>-1296.296296296293</v>
      </c>
    </row>
    <row r="59" spans="1:3">
      <c r="A59" s="32">
        <f>$B$44+11*$B$45</f>
        <v>0.22</v>
      </c>
      <c r="B59" s="16">
        <f>NPV(A59,$C$8:$E$8)+$B$8</f>
        <v>-1139.6548609795527</v>
      </c>
      <c r="C59" s="16">
        <f>NPV(A59,$C$9:$E$9)+$B$9</f>
        <v>-2419.4976672056246</v>
      </c>
    </row>
    <row r="60" spans="1:3">
      <c r="A60" s="32">
        <f>$B$44+12*$B$45</f>
        <v>0.24</v>
      </c>
      <c r="B60" s="16">
        <f>NPV(A60,$C$8:$E$8)+$B$8</f>
        <v>-1979.7925547984287</v>
      </c>
      <c r="C60" s="16">
        <f>NPV(A60,$C$9:$E$9)+$B$9</f>
        <v>-3477.7281729381352</v>
      </c>
    </row>
    <row r="61" spans="1:3">
      <c r="A61" s="32">
        <f>$B$44+13*$B$45</f>
        <v>0.26</v>
      </c>
      <c r="B61" s="16">
        <f>NPV(A61,$C$8:$E$8)+$B$8</f>
        <v>-2778.117713869794</v>
      </c>
      <c r="C61" s="16">
        <f>NPV(A61,$C$9:$E$9)+$B$9</f>
        <v>-4475.798549872627</v>
      </c>
    </row>
    <row r="62" spans="1:3">
      <c r="A62" s="32">
        <f>$B$44+14*$B$45</f>
        <v>0.28</v>
      </c>
      <c r="B62" s="16">
        <f>NPV(A62,$C$8:$E$8)+$B$8</f>
        <v>-3537.445068359376</v>
      </c>
      <c r="C62" s="16">
        <f>NPV(A62,$C$9:$E$9)+$B$9</f>
        <v>-5418.090820312502</v>
      </c>
    </row>
    <row r="63" spans="1:3">
      <c r="A63" s="32">
        <f>$B$44+15*$B$45</f>
        <v>0.3</v>
      </c>
      <c r="B63" s="16">
        <f>NPV(A63,$C$8:$E$8)+$B$8</f>
        <v>-4260.355029585801</v>
      </c>
      <c r="C63" s="16">
        <f>NPV(A63,$C$9:$E$9)+$B$9</f>
        <v>-6308.602639963588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D24"/>
  <sheetViews>
    <sheetView workbookViewId="0">
      <pane ySplit="4" topLeftCell="A5" activePane="bottomLeft" state="frozen"/>
      <selection pane="bottomLeft"/>
    </sheetView>
  </sheetViews>
  <sheetFormatPr defaultRowHeight="15"/>
  <cols>
    <col min="1" max="1" width="24.7109375" customWidth="1"/>
    <col min="2" max="2" width="40.7109375" customWidth="1"/>
    <col min="3" max="4" width="60.7109375" customWidth="1"/>
  </cols>
  <sheetData>
    <row r="1" spans="1:4" ht="21" customHeight="1">
      <c r="A1" s="2" t="s">
        <v>148</v>
      </c>
    </row>
    <row r="2" spans="1:4">
      <c r="A2" s="10" t="s">
        <v>149</v>
      </c>
    </row>
    <row r="4" spans="1:4">
      <c r="A4" s="5" t="s">
        <v>107</v>
      </c>
      <c r="B4" s="18" t="s">
        <v>150</v>
      </c>
      <c r="C4" s="18" t="s">
        <v>151</v>
      </c>
    </row>
    <row r="5" spans="1:4">
      <c r="A5" s="3" t="s">
        <v>134</v>
      </c>
      <c r="B5" s="4" t="s">
        <v>152</v>
      </c>
      <c r="C5" s="6" t="s">
        <v>153</v>
      </c>
    </row>
    <row r="6" spans="1:4">
      <c r="A6" s="3" t="s">
        <v>56</v>
      </c>
      <c r="B6" s="4" t="s">
        <v>154</v>
      </c>
      <c r="C6" s="6" t="s">
        <v>155</v>
      </c>
    </row>
    <row r="7" spans="1:4">
      <c r="A7" s="3" t="s">
        <v>156</v>
      </c>
      <c r="B7" s="4" t="s">
        <v>157</v>
      </c>
      <c r="C7" s="6" t="s">
        <v>158</v>
      </c>
    </row>
    <row r="8" spans="1:4">
      <c r="A8" s="3" t="s">
        <v>159</v>
      </c>
      <c r="B8" s="4" t="s">
        <v>160</v>
      </c>
      <c r="C8" s="6" t="s">
        <v>161</v>
      </c>
    </row>
    <row r="9" spans="1:4">
      <c r="A9" s="3" t="s">
        <v>162</v>
      </c>
      <c r="B9" s="4" t="s">
        <v>160</v>
      </c>
      <c r="C9" s="6" t="s">
        <v>163</v>
      </c>
    </row>
    <row r="10" spans="1:4">
      <c r="A10" s="3" t="s">
        <v>98</v>
      </c>
      <c r="B10" s="4" t="s">
        <v>160</v>
      </c>
      <c r="C10" s="6" t="s">
        <v>164</v>
      </c>
    </row>
    <row r="11" spans="1:4">
      <c r="A11" s="3" t="s">
        <v>104</v>
      </c>
      <c r="B11" s="4" t="s">
        <v>165</v>
      </c>
      <c r="C11" s="6" t="s">
        <v>166</v>
      </c>
    </row>
    <row r="12" spans="1:4">
      <c r="A12" s="3" t="s">
        <v>167</v>
      </c>
      <c r="B12" s="4" t="s">
        <v>168</v>
      </c>
      <c r="C12" s="6" t="s">
        <v>169</v>
      </c>
    </row>
    <row r="13" spans="1:4">
      <c r="A13" s="3" t="s">
        <v>170</v>
      </c>
      <c r="B13" s="4" t="s">
        <v>171</v>
      </c>
      <c r="C13" s="6" t="s">
        <v>172</v>
      </c>
    </row>
    <row r="15" spans="1:4">
      <c r="A15" s="5" t="s">
        <v>107</v>
      </c>
      <c r="B15" s="18" t="s">
        <v>173</v>
      </c>
      <c r="C15" s="18" t="s">
        <v>174</v>
      </c>
      <c r="D15" s="18" t="s">
        <v>175</v>
      </c>
    </row>
    <row r="16" spans="1:4">
      <c r="A16" s="3" t="s">
        <v>134</v>
      </c>
      <c r="B16" s="4" t="s">
        <v>112</v>
      </c>
      <c r="C16" s="6" t="s">
        <v>176</v>
      </c>
      <c r="D16" s="6" t="s">
        <v>177</v>
      </c>
    </row>
    <row r="17" spans="1:4">
      <c r="A17" s="3" t="s">
        <v>56</v>
      </c>
      <c r="B17" s="4" t="s">
        <v>178</v>
      </c>
      <c r="C17" s="6" t="s">
        <v>179</v>
      </c>
      <c r="D17" s="6" t="s">
        <v>180</v>
      </c>
    </row>
    <row r="18" spans="1:4">
      <c r="A18" s="3" t="s">
        <v>156</v>
      </c>
      <c r="B18" s="4" t="s">
        <v>181</v>
      </c>
      <c r="C18" s="6" t="s">
        <v>182</v>
      </c>
      <c r="D18" s="6" t="s">
        <v>183</v>
      </c>
    </row>
    <row r="19" spans="1:4">
      <c r="A19" s="3" t="s">
        <v>159</v>
      </c>
      <c r="B19" s="4" t="s">
        <v>184</v>
      </c>
      <c r="C19" s="6" t="s">
        <v>185</v>
      </c>
      <c r="D19" s="6" t="s">
        <v>186</v>
      </c>
    </row>
    <row r="20" spans="1:4">
      <c r="A20" s="3" t="s">
        <v>162</v>
      </c>
      <c r="B20" s="4" t="s">
        <v>187</v>
      </c>
      <c r="C20" s="6" t="s">
        <v>188</v>
      </c>
      <c r="D20" s="6" t="s">
        <v>189</v>
      </c>
    </row>
    <row r="21" spans="1:4">
      <c r="A21" s="3" t="s">
        <v>98</v>
      </c>
      <c r="B21" s="4" t="s">
        <v>190</v>
      </c>
      <c r="C21" s="6" t="s">
        <v>191</v>
      </c>
      <c r="D21" s="6" t="s">
        <v>192</v>
      </c>
    </row>
    <row r="22" spans="1:4">
      <c r="A22" s="3" t="s">
        <v>193</v>
      </c>
      <c r="B22" s="4" t="s">
        <v>116</v>
      </c>
      <c r="C22" s="6" t="s">
        <v>194</v>
      </c>
      <c r="D22" s="6" t="s">
        <v>195</v>
      </c>
    </row>
    <row r="24" spans="1:4">
      <c r="A24" s="10"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vt:lpstr>
      <vt:lpstr>Coffee Cart</vt:lpstr>
      <vt:lpstr>NPV vs IRR</vt:lpstr>
      <vt:lpstr>Excel Functions</vt:lpstr>
    </vt:vector>
  </TitlesOfParts>
  <Company>akram.education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Akram Ayyash</dc:creator>
  <dc:description>My own material, free to use for learning. Not an official FGCU document.</dc:description>
  <cp:lastModifiedBy>Akram Ayyash</cp:lastModifiedBy>
  <dcterms:created xsi:type="dcterms:W3CDTF">2026-10-09T19:10:09Z</dcterms:created>
  <dcterms:modified xsi:type="dcterms:W3CDTF">2026-10-09T19:10:09Z</dcterms:modified>
</cp:coreProperties>
</file>