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24000" windowHeight="15000"/>
  </bookViews>
  <sheets>
    <sheet name="About" sheetId="1" r:id="rId1"/>
    <sheet name="Inputs" sheetId="2" r:id="rId2"/>
    <sheet name="Relevant Cash Flows" sheetId="3" r:id="rId3"/>
    <sheet name="Pro Forma" sheetId="4" r:id="rId4"/>
    <sheet name="Cash Flows" sheetId="5" r:id="rId5"/>
    <sheet name="Decision Metrics" sheetId="6" r:id="rId6"/>
    <sheet name="Mutually Exclusive" sheetId="7" r:id="rId7"/>
  </sheets>
  <calcPr calcId="124519" fullCalcOnLoad="1"/>
</workbook>
</file>

<file path=xl/sharedStrings.xml><?xml version="1.0" encoding="utf-8"?>
<sst xmlns="http://schemas.openxmlformats.org/spreadsheetml/2006/main" count="185" uniqueCount="161">
  <si>
    <t>akram.education</t>
  </si>
  <si>
    <t>Gulf Coast Solar: a full capital budgeting model</t>
  </si>
  <si>
    <t>FIN 3414  Financial Management</t>
  </si>
  <si>
    <t>Florida Gulf Coast University</t>
  </si>
  <si>
    <t>What this workbook is for</t>
  </si>
  <si>
    <t>Work a complete capital budgeting case: decide which cash flows count, build the pro forma and operating cash flow, add working capital and after-tax salvage, score the project with NPV, IRR, PI and payback, and compare it with a mutually exclusive alternative. Goes with the case "Gulf Coast Solar" on akram.education.</t>
  </si>
  <si>
    <t>How to use it</t>
  </si>
  <si>
    <t>Every number starts on Inputs. Change installations, price, costs, tax rate, WACC, salvage or the MACRS rates and every other sheet follows.</t>
  </si>
  <si>
    <t>Work through the sheets in order: Relevant Cash Flows, Pro Forma, Cash Flows, Decision Metrics, Mutually Exclusive. Each one reads only from the sheets before it.</t>
  </si>
  <si>
    <t>Gulf Coast Solar is a fictional company and the numbers are illustrative.</t>
  </si>
  <si>
    <t>Sheets</t>
  </si>
  <si>
    <t>Inputs</t>
  </si>
  <si>
    <t>Project data, revenue projections and the MACRS schedule.</t>
  </si>
  <si>
    <t>Relevant Cash Flows</t>
  </si>
  <si>
    <t>Which items count in the analysis, and why.</t>
  </si>
  <si>
    <t>Pro Forma</t>
  </si>
  <si>
    <t>Income statement for Years 1 to 5 and operating cash flow.</t>
  </si>
  <si>
    <t>Cash Flows</t>
  </si>
  <si>
    <t>After-tax salvage and the total project cash flows, Years 0 to 5.</t>
  </si>
  <si>
    <t>Decision Metrics</t>
  </si>
  <si>
    <t>NPV, IRR, profitability index, payback and discounted payback.</t>
  </si>
  <si>
    <t>Mutually Exclusive</t>
  </si>
  <si>
    <t>A residential upgrade as the alternative: NPV, IRR, PI, the crossover rate, and which project to choose.</t>
  </si>
  <si>
    <t>Colour key</t>
  </si>
  <si>
    <t>Input: blue on pale yellow. Change these and the workbook recalculates.</t>
  </si>
  <si>
    <t>Formula: black. Calculated from the inputs; no need to type over it.</t>
  </si>
  <si>
    <t>Note</t>
  </si>
  <si>
    <t>Note: grey italic. Explanation only.</t>
  </si>
  <si>
    <t>Header</t>
  </si>
  <si>
    <t>Header row: white bold on teal.</t>
  </si>
  <si>
    <t>About this file</t>
  </si>
  <si>
    <t>Version</t>
  </si>
  <si>
    <t>1.0</t>
  </si>
  <si>
    <t>Date</t>
  </si>
  <si>
    <t>October 2026</t>
  </si>
  <si>
    <t>Author</t>
  </si>
  <si>
    <t>Akram Ayyash, akram.education</t>
  </si>
  <si>
    <t>My own material, free to use for learning. Not an official FGCU document.</t>
  </si>
  <si>
    <t>Gulf Coast Solar: a commercial rooftop division</t>
  </si>
  <si>
    <t>A Southwest Florida solar installer weighs a commercial division for office parks and strip malls. Fictional company, illustrative numbers.</t>
  </si>
  <si>
    <t>Project inputs</t>
  </si>
  <si>
    <t>Equipment cost</t>
  </si>
  <si>
    <t>Salvage value, end of Year 5</t>
  </si>
  <si>
    <t>Net working capital at launch (recovered at the end)</t>
  </si>
  <si>
    <t>Tax rate</t>
  </si>
  <si>
    <t>WACC</t>
  </si>
  <si>
    <t>Opportunity cost: warehouse rent forgone (after tax, per year)</t>
  </si>
  <si>
    <t>Variable costs (% of commercial revenue)</t>
  </si>
  <si>
    <t>Fixed costs per year</t>
  </si>
  <si>
    <t>Erosion of residential revenue per year</t>
  </si>
  <si>
    <t>Price per installation</t>
  </si>
  <si>
    <t>Payback cutoff policy (years)</t>
  </si>
  <si>
    <t>Known costs that are not project cash flows</t>
  </si>
  <si>
    <t>Feasibility study, completed last quarter</t>
  </si>
  <si>
    <t>Term loan to part-fund the project: amount, rate</t>
  </si>
  <si>
    <t>See Relevant Cash Flows for why these two stay out.</t>
  </si>
  <si>
    <t>Revenue</t>
  </si>
  <si>
    <t/>
  </si>
  <si>
    <t>Installations</t>
  </si>
  <si>
    <t>Revenue per installation</t>
  </si>
  <si>
    <t>Commercial revenue</t>
  </si>
  <si>
    <t>5-year MACRS</t>
  </si>
  <si>
    <t>MACRS rate</t>
  </si>
  <si>
    <t>Depreciation</t>
  </si>
  <si>
    <t>Year 6 is never reached: the equipment is sold at the end of Year 5, so its last slice of depreciation sits in the book value instead.</t>
  </si>
  <si>
    <t>Which cash flows count?</t>
  </si>
  <si>
    <t>Count a cash flow only if it changes because the project goes ahead.</t>
  </si>
  <si>
    <t>Item</t>
  </si>
  <si>
    <t>Amount</t>
  </si>
  <si>
    <t>Count it?</t>
  </si>
  <si>
    <t>Why</t>
  </si>
  <si>
    <t>Feasibility study</t>
  </si>
  <si>
    <t>No</t>
  </si>
  <si>
    <t>Sunk cost: already spent whether or not the division launches.</t>
  </si>
  <si>
    <t>Warehouse rent forgone (per year, after tax)</t>
  </si>
  <si>
    <t>Yes</t>
  </si>
  <si>
    <t>Opportunity cost: using the warehouse means giving up its rental income.</t>
  </si>
  <si>
    <t>Interest on the term loan</t>
  </si>
  <si>
    <t>Financing cost: the WACC already charges for capital, so counting interest double-counts.</t>
  </si>
  <si>
    <t>Erosion of residential revenue (per year)</t>
  </si>
  <si>
    <t>Cannibalization: sales the company loses because of the new division.</t>
  </si>
  <si>
    <t>Net working capital</t>
  </si>
  <si>
    <t>Tied up at launch (inventory, receivables) and recovered at the end.</t>
  </si>
  <si>
    <t>Equipment salvage value</t>
  </si>
  <si>
    <t>Cash in at the end, after tax on the gain over book value.</t>
  </si>
  <si>
    <t>Incremental fixed costs (per year)</t>
  </si>
  <si>
    <t>New costs that exist only if the project goes ahead.</t>
  </si>
  <si>
    <t>Pro forma income statement and operating cash flow</t>
  </si>
  <si>
    <t>Variable costs are a share of commercial revenue before erosion.</t>
  </si>
  <si>
    <t>Less: erosion</t>
  </si>
  <si>
    <t>Net revenue</t>
  </si>
  <si>
    <t>Less: variable costs</t>
  </si>
  <si>
    <t>Less: fixed costs</t>
  </si>
  <si>
    <t>Less: depreciation (MACRS)</t>
  </si>
  <si>
    <t>EBIT</t>
  </si>
  <si>
    <t>Less: taxes</t>
  </si>
  <si>
    <t>Net income</t>
  </si>
  <si>
    <t>Operating cash flow</t>
  </si>
  <si>
    <t>OCF = EBIT - taxes + depreciation.</t>
  </si>
  <si>
    <t>Plus: depreciation</t>
  </si>
  <si>
    <t>OCF</t>
  </si>
  <si>
    <t>After-tax salvage and total project cash flows</t>
  </si>
  <si>
    <t>After-tax salvage</t>
  </si>
  <si>
    <t>Cumulative MACRS rate, Years 1 to 5</t>
  </si>
  <si>
    <t>Book value, end of Year 5</t>
  </si>
  <si>
    <t>Sale price</t>
  </si>
  <si>
    <t>Gain (loss) on sale</t>
  </si>
  <si>
    <t>Tax on the gain (negative: tax saved on a loss)</t>
  </si>
  <si>
    <t>Total project cash flows</t>
  </si>
  <si>
    <t>Less: opportunity cost</t>
  </si>
  <si>
    <t>Equipment</t>
  </si>
  <si>
    <t>Total cash flow</t>
  </si>
  <si>
    <t>NPV, IRR, profitability index and payback</t>
  </si>
  <si>
    <t>Discount factor</t>
  </si>
  <si>
    <t>Present value</t>
  </si>
  <si>
    <t>Cumulative cash flow</t>
  </si>
  <si>
    <t>Cumulative present value</t>
  </si>
  <si>
    <t>NPV, IRR and profitability index</t>
  </si>
  <si>
    <t>Metric</t>
  </si>
  <si>
    <t>Value</t>
  </si>
  <si>
    <t>Decision rule</t>
  </si>
  <si>
    <t>Result</t>
  </si>
  <si>
    <t>Net present value</t>
  </si>
  <si>
    <t>NPV &gt; 0</t>
  </si>
  <si>
    <t>Internal rate of return</t>
  </si>
  <si>
    <t>Profitability index</t>
  </si>
  <si>
    <t>PI &gt; 1</t>
  </si>
  <si>
    <t>Check: NPV as the sum of present values</t>
  </si>
  <si>
    <t>Payback</t>
  </si>
  <si>
    <t>Payback (years)</t>
  </si>
  <si>
    <t>Discounted payback (years)</t>
  </si>
  <si>
    <t>Passes the cutoff on simple payback?</t>
  </si>
  <si>
    <t>Passes the cutoff on discounted payback?</t>
  </si>
  <si>
    <t>A payback cutoff ignores every cash flow after it (here Years 4 and 5 hold the working capital and the salvage), simple payback ignores the time value of money, and the cutoff itself is arbitrary.</t>
  </si>
  <si>
    <t>When payback and NPV disagree, follow NPV.</t>
  </si>
  <si>
    <t>The alternative: a residential upgrade</t>
  </si>
  <si>
    <t>Instead of the commercial division, put the same $2.4M into upgrading the residential business. Only one can go ahead.</t>
  </si>
  <si>
    <t>Residential upgrade inputs</t>
  </si>
  <si>
    <t>Initial investment</t>
  </si>
  <si>
    <t>Annual cash flow, Years 1 to 5</t>
  </si>
  <si>
    <t>Residential cash flow</t>
  </si>
  <si>
    <t>Commercial cash flow</t>
  </si>
  <si>
    <t>Difference, commercial minus residential</t>
  </si>
  <si>
    <t>NPV, residential</t>
  </si>
  <si>
    <t>Check: annuity form, -I + CF x PVIFA</t>
  </si>
  <si>
    <t>IRR, residential</t>
  </si>
  <si>
    <t>PI, residential</t>
  </si>
  <si>
    <t>Crossover rate (IRR of the difference)</t>
  </si>
  <si>
    <t>The NPV profiles cross only at the crossover rate. If it sits far above both IRRs, no sensible cost of capital flips the ranking.</t>
  </si>
  <si>
    <t>Comparison</t>
  </si>
  <si>
    <t>Commercial division</t>
  </si>
  <si>
    <t>Residential upgrade</t>
  </si>
  <si>
    <t>Winner</t>
  </si>
  <si>
    <t>NPV</t>
  </si>
  <si>
    <t>IRR</t>
  </si>
  <si>
    <t>Decision (follow NPV)</t>
  </si>
  <si>
    <t>Do NPV and IRR agree?</t>
  </si>
  <si>
    <t>When NPV and IRR can disagree</t>
  </si>
  <si>
    <t>Scale: a small project can have the higher IRR and the lower NPV. Earning 50% on $1,000 adds less value than earning 20% on $1,000,000.</t>
  </si>
  <si>
    <t>Timing: when one project pays early and the other late, their NPV profiles cross; IRR ranks them the same way at every rate, so it can pick the wrong one.</t>
  </si>
  <si>
    <t>Unconventional cash flows: if the sign changes more than once, there can be several IRRs or none.</t>
  </si>
</sst>
</file>

<file path=xl/styles.xml><?xml version="1.0" encoding="utf-8"?>
<styleSheet xmlns="http://schemas.openxmlformats.org/spreadsheetml/2006/main">
  <numFmts count="8">
    <numFmt numFmtId="164" formatCode="#,##0;-#,##0"/>
    <numFmt numFmtId="165" formatCode="$#,##0;-$#,##0"/>
    <numFmt numFmtId="166" formatCode="0.00%"/>
    <numFmt numFmtId="167" formatCode="0.00"/>
    <numFmt numFmtId="168" formatCode="0.0%"/>
    <numFmt numFmtId="169" formatCode="&quot;Year &quot;0"/>
    <numFmt numFmtId="170" formatCode="0.0000"/>
    <numFmt numFmtId="171" formatCode="0.000"/>
  </numFmts>
  <fonts count="9">
    <font>
      <sz val="11"/>
      <color theme="1"/>
      <name val="Calibri"/>
      <family val="2"/>
      <scheme val="minor"/>
    </font>
    <font>
      <b/>
      <sz val="11"/>
      <color rgb="FF2C7873"/>
      <name val="Calibri"/>
      <family val="2"/>
      <scheme val="minor"/>
    </font>
    <font>
      <b/>
      <sz val="14"/>
      <color rgb="FF14232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4E9F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5B6B6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C7873"/>
        <bgColor indexed="64"/>
      </patternFill>
    </fill>
    <fill>
      <patternFill patternType="solid">
        <fgColor rgb="FFFFF7D6"/>
        <bgColor indexed="64"/>
      </patternFill>
    </fill>
  </fills>
  <borders count="3">
    <border>
      <left/>
      <right/>
      <top/>
      <bottom/>
      <diagonal/>
    </border>
    <border>
      <left style="thin">
        <color rgb="FFD6DFDC"/>
      </left>
      <right style="thin">
        <color rgb="FFD6DFDC"/>
      </right>
      <top style="thin">
        <color rgb="FFD6DFDC"/>
      </top>
      <bottom style="thin">
        <color rgb="FFD6DFDC"/>
      </bottom>
      <diagonal/>
    </border>
    <border>
      <left/>
      <right/>
      <top style="thin">
        <color rgb="FF14232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/>
    <xf numFmtId="0" fontId="4" fillId="2" borderId="0" xfId="0" applyFont="1" applyFill="1" applyAlignment="1">
      <alignment horizontal="left" vertic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164" fontId="5" fillId="3" borderId="1" xfId="0" applyNumberFormat="1" applyFont="1" applyFill="1" applyBorder="1"/>
    <xf numFmtId="164" fontId="6" fillId="0" borderId="0" xfId="0" applyNumberFormat="1" applyFont="1"/>
    <xf numFmtId="0" fontId="7" fillId="0" borderId="0" xfId="0" applyFont="1"/>
    <xf numFmtId="0" fontId="0" fillId="0" borderId="0" xfId="0" applyAlignment="1">
      <alignment horizontal="left"/>
    </xf>
    <xf numFmtId="165" fontId="5" fillId="3" borderId="1" xfId="0" applyNumberFormat="1" applyFont="1" applyFill="1" applyBorder="1"/>
    <xf numFmtId="166" fontId="5" fillId="3" borderId="1" xfId="0" applyNumberFormat="1" applyFont="1" applyFill="1" applyBorder="1"/>
    <xf numFmtId="167" fontId="5" fillId="3" borderId="1" xfId="0" applyNumberFormat="1" applyFont="1" applyFill="1" applyBorder="1"/>
    <xf numFmtId="165" fontId="7" fillId="0" borderId="0" xfId="0" applyNumberFormat="1" applyFont="1"/>
    <xf numFmtId="168" fontId="7" fillId="0" borderId="0" xfId="0" applyNumberFormat="1" applyFont="1"/>
    <xf numFmtId="169" fontId="4" fillId="2" borderId="0" xfId="0" applyNumberFormat="1" applyFont="1" applyFill="1" applyAlignment="1">
      <alignment horizontal="center" vertical="center"/>
    </xf>
    <xf numFmtId="165" fontId="6" fillId="0" borderId="0" xfId="0" applyNumberFormat="1" applyFont="1"/>
    <xf numFmtId="165" fontId="8" fillId="0" borderId="2" xfId="0" applyNumberFormat="1" applyFont="1" applyBorder="1"/>
    <xf numFmtId="0" fontId="4" fillId="2" borderId="0" xfId="0" applyFont="1" applyFill="1" applyAlignment="1">
      <alignment horizontal="center" vertical="center"/>
    </xf>
    <xf numFmtId="166" fontId="6" fillId="0" borderId="0" xfId="0" applyNumberFormat="1" applyFont="1"/>
    <xf numFmtId="170" fontId="6" fillId="0" borderId="0" xfId="0" applyNumberFormat="1" applyFont="1"/>
    <xf numFmtId="0" fontId="6" fillId="0" borderId="0" xfId="0" applyFont="1"/>
    <xf numFmtId="166" fontId="8" fillId="0" borderId="2" xfId="0" applyNumberFormat="1" applyFont="1" applyBorder="1"/>
    <xf numFmtId="0" fontId="6" fillId="0" borderId="0" xfId="0" applyFont="1" applyAlignment="1">
      <alignment horizontal="left"/>
    </xf>
    <xf numFmtId="171" fontId="8" fillId="0" borderId="2" xfId="0" applyNumberFormat="1" applyFont="1" applyBorder="1"/>
    <xf numFmtId="167" fontId="8" fillId="0" borderId="2" xfId="0" applyNumberFormat="1" applyFont="1" applyBorder="1"/>
    <xf numFmtId="167" fontId="6" fillId="0" borderId="0" xfId="0" applyNumberFormat="1" applyFont="1"/>
    <xf numFmtId="171" fontId="6" fillId="0" borderId="0" xfId="0" applyNumberFormat="1" applyFont="1"/>
    <xf numFmtId="0" fontId="8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C7873"/>
  </sheetPr>
  <dimension ref="B2:C34"/>
  <sheetViews>
    <sheetView showGridLines="0" tabSelected="1" workbookViewId="0"/>
  </sheetViews>
  <sheetFormatPr defaultRowHeight="15"/>
  <cols>
    <col min="1" max="1" width="3.7109375" customWidth="1"/>
    <col min="2" max="2" width="24.7109375" customWidth="1"/>
    <col min="3" max="3" width="92.7109375" customWidth="1"/>
  </cols>
  <sheetData>
    <row r="2" spans="2:3">
      <c r="B2" s="1" t="s">
        <v>0</v>
      </c>
    </row>
    <row r="3" spans="2:3" ht="21" customHeight="1">
      <c r="B3" s="2" t="s">
        <v>1</v>
      </c>
    </row>
    <row r="4" spans="2:3">
      <c r="B4" s="3" t="s">
        <v>2</v>
      </c>
    </row>
    <row r="5" spans="2:3">
      <c r="B5" s="4" t="s">
        <v>3</v>
      </c>
    </row>
    <row r="7" spans="2:3">
      <c r="B7" s="5" t="s">
        <v>4</v>
      </c>
      <c r="C7" s="5"/>
    </row>
    <row r="8" spans="2:3" ht="48" customHeight="1">
      <c r="B8" s="6" t="s">
        <v>5</v>
      </c>
      <c r="C8" s="6"/>
    </row>
    <row r="10" spans="2:3">
      <c r="B10" s="5" t="s">
        <v>6</v>
      </c>
      <c r="C10" s="5"/>
    </row>
    <row r="11" spans="2:3" ht="33" customHeight="1">
      <c r="B11" s="6" t="s">
        <v>7</v>
      </c>
      <c r="C11" s="6"/>
    </row>
    <row r="12" spans="2:3" ht="33" customHeight="1">
      <c r="B12" s="6" t="s">
        <v>8</v>
      </c>
      <c r="C12" s="6"/>
    </row>
    <row r="13" spans="2:3" ht="18" customHeight="1">
      <c r="B13" s="6" t="s">
        <v>9</v>
      </c>
      <c r="C13" s="6"/>
    </row>
    <row r="15" spans="2:3">
      <c r="B15" s="5" t="s">
        <v>10</v>
      </c>
      <c r="C15" s="5"/>
    </row>
    <row r="16" spans="2:3" ht="18" customHeight="1">
      <c r="B16" s="7" t="s">
        <v>11</v>
      </c>
      <c r="C16" s="6" t="s">
        <v>12</v>
      </c>
    </row>
    <row r="17" spans="2:3" ht="18" customHeight="1">
      <c r="B17" s="7" t="s">
        <v>13</v>
      </c>
      <c r="C17" s="6" t="s">
        <v>14</v>
      </c>
    </row>
    <row r="18" spans="2:3" ht="18" customHeight="1">
      <c r="B18" s="7" t="s">
        <v>15</v>
      </c>
      <c r="C18" s="6" t="s">
        <v>16</v>
      </c>
    </row>
    <row r="19" spans="2:3" ht="18" customHeight="1">
      <c r="B19" s="7" t="s">
        <v>17</v>
      </c>
      <c r="C19" s="6" t="s">
        <v>18</v>
      </c>
    </row>
    <row r="20" spans="2:3" ht="18" customHeight="1">
      <c r="B20" s="7" t="s">
        <v>19</v>
      </c>
      <c r="C20" s="6" t="s">
        <v>20</v>
      </c>
    </row>
    <row r="21" spans="2:3" ht="18" customHeight="1">
      <c r="B21" s="7" t="s">
        <v>21</v>
      </c>
      <c r="C21" s="6" t="s">
        <v>22</v>
      </c>
    </row>
    <row r="23" spans="2:3">
      <c r="B23" s="5" t="s">
        <v>23</v>
      </c>
      <c r="C23" s="5"/>
    </row>
    <row r="24" spans="2:3">
      <c r="B24" s="8">
        <v>1000</v>
      </c>
      <c r="C24" s="6" t="s">
        <v>24</v>
      </c>
    </row>
    <row r="25" spans="2:3">
      <c r="B25" s="9">
        <f>B24*2</f>
        <v>2000</v>
      </c>
      <c r="C25" s="6" t="s">
        <v>25</v>
      </c>
    </row>
    <row r="26" spans="2:3">
      <c r="B26" s="10" t="s">
        <v>26</v>
      </c>
      <c r="C26" s="6" t="s">
        <v>27</v>
      </c>
    </row>
    <row r="27" spans="2:3">
      <c r="B27" s="5" t="s">
        <v>28</v>
      </c>
      <c r="C27" s="6" t="s">
        <v>29</v>
      </c>
    </row>
    <row r="29" spans="2:3">
      <c r="B29" s="5" t="s">
        <v>30</v>
      </c>
      <c r="C29" s="5"/>
    </row>
    <row r="30" spans="2:3">
      <c r="B30" s="3" t="s">
        <v>31</v>
      </c>
      <c r="C30" s="11" t="s">
        <v>32</v>
      </c>
    </row>
    <row r="31" spans="2:3">
      <c r="B31" s="3" t="s">
        <v>33</v>
      </c>
      <c r="C31" s="4" t="s">
        <v>34</v>
      </c>
    </row>
    <row r="32" spans="2:3">
      <c r="B32" s="3" t="s">
        <v>35</v>
      </c>
      <c r="C32" s="4" t="s">
        <v>36</v>
      </c>
    </row>
    <row r="34" spans="2:3">
      <c r="B34" s="10" t="s">
        <v>37</v>
      </c>
      <c r="C34" s="10"/>
    </row>
  </sheetData>
  <mergeCells count="5">
    <mergeCell ref="B8:C8"/>
    <mergeCell ref="B11:C11"/>
    <mergeCell ref="B12:C12"/>
    <mergeCell ref="B13:C13"/>
    <mergeCell ref="B34:C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40.7109375" customWidth="1"/>
    <col min="2" max="13" width="14.7109375" customWidth="1"/>
  </cols>
  <sheetData>
    <row r="1" spans="1:7" ht="21" customHeight="1">
      <c r="A1" s="2" t="s">
        <v>38</v>
      </c>
    </row>
    <row r="2" spans="1:7">
      <c r="A2" s="10" t="s">
        <v>39</v>
      </c>
    </row>
    <row r="4" spans="1:7">
      <c r="A4" s="5" t="s">
        <v>40</v>
      </c>
      <c r="B4" s="5"/>
      <c r="C4" s="5"/>
      <c r="D4" s="5"/>
      <c r="E4" s="5"/>
      <c r="F4" s="5"/>
      <c r="G4" s="5"/>
    </row>
    <row r="5" spans="1:7">
      <c r="A5" s="4" t="s">
        <v>41</v>
      </c>
      <c r="B5" s="12">
        <v>2400000</v>
      </c>
    </row>
    <row r="6" spans="1:7">
      <c r="A6" s="4" t="s">
        <v>42</v>
      </c>
      <c r="B6" s="12">
        <v>350000</v>
      </c>
    </row>
    <row r="7" spans="1:7">
      <c r="A7" s="4" t="s">
        <v>43</v>
      </c>
      <c r="B7" s="12">
        <v>300000</v>
      </c>
    </row>
    <row r="8" spans="1:7">
      <c r="A8" s="4" t="s">
        <v>44</v>
      </c>
      <c r="B8" s="13">
        <v>0.25</v>
      </c>
    </row>
    <row r="9" spans="1:7">
      <c r="A9" s="4" t="s">
        <v>45</v>
      </c>
      <c r="B9" s="13">
        <v>0.11</v>
      </c>
    </row>
    <row r="10" spans="1:7">
      <c r="A10" s="4" t="s">
        <v>46</v>
      </c>
      <c r="B10" s="12">
        <v>80000</v>
      </c>
    </row>
    <row r="11" spans="1:7">
      <c r="A11" s="4" t="s">
        <v>47</v>
      </c>
      <c r="B11" s="13">
        <v>0.4</v>
      </c>
    </row>
    <row r="12" spans="1:7">
      <c r="A12" s="4" t="s">
        <v>48</v>
      </c>
      <c r="B12" s="12">
        <v>250000</v>
      </c>
    </row>
    <row r="13" spans="1:7">
      <c r="A13" s="4" t="s">
        <v>49</v>
      </c>
      <c r="B13" s="12">
        <v>120000</v>
      </c>
    </row>
    <row r="14" spans="1:7">
      <c r="A14" s="4" t="s">
        <v>50</v>
      </c>
      <c r="B14" s="12">
        <v>30000</v>
      </c>
    </row>
    <row r="15" spans="1:7">
      <c r="A15" s="4" t="s">
        <v>51</v>
      </c>
      <c r="B15" s="14">
        <v>3</v>
      </c>
    </row>
    <row r="17" spans="1:7">
      <c r="A17" s="5" t="s">
        <v>52</v>
      </c>
      <c r="B17" s="5"/>
      <c r="C17" s="5"/>
      <c r="D17" s="5"/>
      <c r="E17" s="5"/>
      <c r="F17" s="5"/>
      <c r="G17" s="5"/>
    </row>
    <row r="18" spans="1:7">
      <c r="A18" s="4" t="s">
        <v>53</v>
      </c>
      <c r="B18" s="15">
        <v>95000</v>
      </c>
    </row>
    <row r="19" spans="1:7">
      <c r="A19" s="4" t="s">
        <v>54</v>
      </c>
      <c r="B19" s="15">
        <v>2000000</v>
      </c>
      <c r="C19" s="16">
        <v>0.065</v>
      </c>
    </row>
    <row r="20" spans="1:7">
      <c r="A20" s="10" t="s">
        <v>55</v>
      </c>
    </row>
    <row r="22" spans="1:7">
      <c r="A22" s="5" t="s">
        <v>56</v>
      </c>
      <c r="B22" s="5"/>
      <c r="C22" s="5"/>
      <c r="D22" s="5"/>
      <c r="E22" s="5"/>
      <c r="F22" s="5"/>
      <c r="G22" s="5"/>
    </row>
    <row r="23" spans="1:7">
      <c r="A23" s="5" t="s">
        <v>57</v>
      </c>
      <c r="B23" s="17">
        <v>1</v>
      </c>
      <c r="C23" s="17">
        <v>2</v>
      </c>
      <c r="D23" s="17">
        <v>3</v>
      </c>
      <c r="E23" s="17">
        <v>4</v>
      </c>
      <c r="F23" s="17">
        <v>5</v>
      </c>
    </row>
    <row r="24" spans="1:7">
      <c r="A24" s="4" t="s">
        <v>58</v>
      </c>
      <c r="B24" s="8">
        <v>60</v>
      </c>
      <c r="C24" s="8">
        <v>90</v>
      </c>
      <c r="D24" s="8">
        <v>110</v>
      </c>
      <c r="E24" s="8">
        <v>85</v>
      </c>
      <c r="F24" s="8">
        <v>50</v>
      </c>
    </row>
    <row r="25" spans="1:7">
      <c r="A25" s="4" t="s">
        <v>59</v>
      </c>
      <c r="B25" s="18">
        <f>$B$14</f>
        <v>30000.0</v>
      </c>
      <c r="C25" s="18">
        <f>$B$14</f>
        <v>30000.0</v>
      </c>
      <c r="D25" s="18">
        <f>$B$14</f>
        <v>30000.0</v>
      </c>
      <c r="E25" s="18">
        <f>$B$14</f>
        <v>30000.0</v>
      </c>
      <c r="F25" s="18">
        <f>$B$14</f>
        <v>30000.0</v>
      </c>
    </row>
    <row r="26" spans="1:7">
      <c r="A26" s="3" t="s">
        <v>60</v>
      </c>
      <c r="B26" s="19">
        <f>B24*B25</f>
        <v>1800000.0</v>
      </c>
      <c r="C26" s="19">
        <f>C24*C25</f>
        <v>2700000.0</v>
      </c>
      <c r="D26" s="19">
        <f>D24*D25</f>
        <v>3300000.0</v>
      </c>
      <c r="E26" s="19">
        <f>E24*E25</f>
        <v>2550000.0</v>
      </c>
      <c r="F26" s="19">
        <f>F24*F25</f>
        <v>1500000.0</v>
      </c>
    </row>
    <row r="28" spans="1:7">
      <c r="A28" s="5" t="s">
        <v>61</v>
      </c>
      <c r="B28" s="5"/>
      <c r="C28" s="5"/>
      <c r="D28" s="5"/>
      <c r="E28" s="5"/>
      <c r="F28" s="5"/>
      <c r="G28" s="5"/>
    </row>
    <row r="29" spans="1:7">
      <c r="A29" s="5" t="s">
        <v>57</v>
      </c>
      <c r="B29" s="17">
        <v>1</v>
      </c>
      <c r="C29" s="17">
        <v>2</v>
      </c>
      <c r="D29" s="17">
        <v>3</v>
      </c>
      <c r="E29" s="17">
        <v>4</v>
      </c>
      <c r="F29" s="17">
        <v>5</v>
      </c>
      <c r="G29" s="17">
        <v>6</v>
      </c>
    </row>
    <row r="30" spans="1:7">
      <c r="A30" s="4" t="s">
        <v>62</v>
      </c>
      <c r="B30" s="13">
        <v>0.2</v>
      </c>
      <c r="C30" s="13">
        <v>0.32</v>
      </c>
      <c r="D30" s="13">
        <v>0.192</v>
      </c>
      <c r="E30" s="13">
        <v>0.1152</v>
      </c>
      <c r="F30" s="13">
        <v>0.1152</v>
      </c>
      <c r="G30" s="13">
        <v>0.0576</v>
      </c>
    </row>
    <row r="31" spans="1:7">
      <c r="A31" s="4" t="s">
        <v>63</v>
      </c>
      <c r="B31" s="18">
        <f>$B$5*B30</f>
        <v>480000.0</v>
      </c>
      <c r="C31" s="18">
        <f>$B$5*C30</f>
        <v>768000.0</v>
      </c>
      <c r="D31" s="18">
        <f>$B$5*D30</f>
        <v>460800.0</v>
      </c>
      <c r="E31" s="18">
        <f>$B$5*E30</f>
        <v>276480.0</v>
      </c>
      <c r="F31" s="18">
        <f>$B$5*F30</f>
        <v>276480.0</v>
      </c>
    </row>
    <row r="32" spans="1:7">
      <c r="A32" s="10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40.7109375" customWidth="1"/>
    <col min="2" max="2" width="14.7109375" customWidth="1"/>
    <col min="3" max="3" width="12.7109375" customWidth="1"/>
    <col min="4" max="4" width="90.7109375" customWidth="1"/>
  </cols>
  <sheetData>
    <row r="1" spans="1:4" ht="21" customHeight="1">
      <c r="A1" s="2" t="s">
        <v>65</v>
      </c>
    </row>
    <row r="2" spans="1:4">
      <c r="A2" s="10" t="s">
        <v>66</v>
      </c>
    </row>
    <row r="4" spans="1:4">
      <c r="A4" s="5" t="s">
        <v>67</v>
      </c>
      <c r="B4" s="20" t="s">
        <v>68</v>
      </c>
      <c r="C4" s="20" t="s">
        <v>69</v>
      </c>
      <c r="D4" s="20" t="s">
        <v>70</v>
      </c>
    </row>
    <row r="5" spans="1:4">
      <c r="A5" s="4" t="s">
        <v>71</v>
      </c>
      <c r="B5" s="18">
        <f>Inputs!$B$18</f>
        <v>95000</v>
      </c>
      <c r="C5" s="3" t="s">
        <v>72</v>
      </c>
      <c r="D5" s="6" t="s">
        <v>73</v>
      </c>
    </row>
    <row r="6" spans="1:4">
      <c r="A6" s="4" t="s">
        <v>74</v>
      </c>
      <c r="B6" s="18">
        <f>Inputs!$B$10</f>
        <v>80000.0</v>
      </c>
      <c r="C6" s="3" t="s">
        <v>75</v>
      </c>
      <c r="D6" s="6" t="s">
        <v>76</v>
      </c>
    </row>
    <row r="7" spans="1:4">
      <c r="A7" s="4" t="s">
        <v>77</v>
      </c>
      <c r="B7" s="18">
        <f>Inputs!$B$19*Inputs!$C$19</f>
        <v>130000.0</v>
      </c>
      <c r="C7" s="3" t="s">
        <v>72</v>
      </c>
      <c r="D7" s="6" t="s">
        <v>78</v>
      </c>
    </row>
    <row r="8" spans="1:4">
      <c r="A8" s="4" t="s">
        <v>79</v>
      </c>
      <c r="B8" s="18">
        <f>Inputs!$B$13</f>
        <v>120000.0</v>
      </c>
      <c r="C8" s="3" t="s">
        <v>75</v>
      </c>
      <c r="D8" s="6" t="s">
        <v>80</v>
      </c>
    </row>
    <row r="9" spans="1:4">
      <c r="A9" s="4" t="s">
        <v>81</v>
      </c>
      <c r="B9" s="18">
        <f>Inputs!$B$7</f>
        <v>300000.0</v>
      </c>
      <c r="C9" s="3" t="s">
        <v>75</v>
      </c>
      <c r="D9" s="6" t="s">
        <v>82</v>
      </c>
    </row>
    <row r="10" spans="1:4">
      <c r="A10" s="4" t="s">
        <v>83</v>
      </c>
      <c r="B10" s="18">
        <f>Inputs!$B$6</f>
        <v>350000.0</v>
      </c>
      <c r="C10" s="3" t="s">
        <v>75</v>
      </c>
      <c r="D10" s="6" t="s">
        <v>84</v>
      </c>
    </row>
    <row r="11" spans="1:4">
      <c r="A11" s="4" t="s">
        <v>85</v>
      </c>
      <c r="B11" s="18">
        <f>Inputs!$B$12</f>
        <v>250000.0</v>
      </c>
      <c r="C11" s="3" t="s">
        <v>75</v>
      </c>
      <c r="D11" s="6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40.7109375" customWidth="1"/>
    <col min="2" max="13" width="14.7109375" customWidth="1"/>
  </cols>
  <sheetData>
    <row r="1" spans="1:7" ht="21" customHeight="1">
      <c r="A1" s="2" t="s">
        <v>87</v>
      </c>
    </row>
    <row r="2" spans="1:7">
      <c r="A2" s="10" t="s">
        <v>88</v>
      </c>
    </row>
    <row r="4" spans="1:7">
      <c r="A4" s="5" t="s">
        <v>57</v>
      </c>
      <c r="B4" s="17">
        <v>1</v>
      </c>
      <c r="C4" s="17">
        <v>2</v>
      </c>
      <c r="D4" s="17">
        <v>3</v>
      </c>
      <c r="E4" s="17">
        <v>4</v>
      </c>
      <c r="F4" s="17">
        <v>5</v>
      </c>
    </row>
    <row r="5" spans="1:7">
      <c r="A5" s="4" t="s">
        <v>60</v>
      </c>
      <c r="B5" s="18">
        <f>Inputs!B26</f>
        <v>1800000.0</v>
      </c>
      <c r="C5" s="18">
        <f>Inputs!C26</f>
        <v>2700000.0</v>
      </c>
      <c r="D5" s="18">
        <f>Inputs!D26</f>
        <v>3300000.0</v>
      </c>
      <c r="E5" s="18">
        <f>Inputs!E26</f>
        <v>2550000.0</v>
      </c>
      <c r="F5" s="18">
        <f>Inputs!F26</f>
        <v>1500000.0</v>
      </c>
    </row>
    <row r="6" spans="1:7">
      <c r="A6" s="4" t="s">
        <v>89</v>
      </c>
      <c r="B6" s="18">
        <f>-Inputs!$B$13</f>
        <v>-120000.0</v>
      </c>
      <c r="C6" s="18">
        <f>-Inputs!$B$13</f>
        <v>-120000.0</v>
      </c>
      <c r="D6" s="18">
        <f>-Inputs!$B$13</f>
        <v>-120000.0</v>
      </c>
      <c r="E6" s="18">
        <f>-Inputs!$B$13</f>
        <v>-120000.0</v>
      </c>
      <c r="F6" s="18">
        <f>-Inputs!$B$13</f>
        <v>-120000.0</v>
      </c>
    </row>
    <row r="7" spans="1:7">
      <c r="A7" s="4" t="s">
        <v>90</v>
      </c>
      <c r="B7" s="18">
        <f>B5+B6</f>
        <v>1680000.0</v>
      </c>
      <c r="C7" s="18">
        <f>C5+C6</f>
        <v>2580000.0</v>
      </c>
      <c r="D7" s="18">
        <f>D5+D6</f>
        <v>3180000.0</v>
      </c>
      <c r="E7" s="18">
        <f>E5+E6</f>
        <v>2430000.0</v>
      </c>
      <c r="F7" s="18">
        <f>F5+F6</f>
        <v>1380000.0</v>
      </c>
    </row>
    <row r="8" spans="1:7">
      <c r="A8" s="4" t="s">
        <v>91</v>
      </c>
      <c r="B8" s="18">
        <f>-B5*Inputs!$B$11</f>
        <v>-720000.0</v>
      </c>
      <c r="C8" s="18">
        <f>-C5*Inputs!$B$11</f>
        <v>-1080000.0</v>
      </c>
      <c r="D8" s="18">
        <f>-D5*Inputs!$B$11</f>
        <v>-1320000.0</v>
      </c>
      <c r="E8" s="18">
        <f>-E5*Inputs!$B$11</f>
        <v>-1020000.0</v>
      </c>
      <c r="F8" s="18">
        <f>-F5*Inputs!$B$11</f>
        <v>-600000.0</v>
      </c>
    </row>
    <row r="9" spans="1:7">
      <c r="A9" s="4" t="s">
        <v>92</v>
      </c>
      <c r="B9" s="18">
        <f>-Inputs!$B$12</f>
        <v>-250000.0</v>
      </c>
      <c r="C9" s="18">
        <f>-Inputs!$B$12</f>
        <v>-250000.0</v>
      </c>
      <c r="D9" s="18">
        <f>-Inputs!$B$12</f>
        <v>-250000.0</v>
      </c>
      <c r="E9" s="18">
        <f>-Inputs!$B$12</f>
        <v>-250000.0</v>
      </c>
      <c r="F9" s="18">
        <f>-Inputs!$B$12</f>
        <v>-250000.0</v>
      </c>
    </row>
    <row r="10" spans="1:7">
      <c r="A10" s="4" t="s">
        <v>93</v>
      </c>
      <c r="B10" s="18">
        <f>-Inputs!B31</f>
        <v>-480000.0</v>
      </c>
      <c r="C10" s="18">
        <f>-Inputs!C31</f>
        <v>-768000.0</v>
      </c>
      <c r="D10" s="18">
        <f>-Inputs!D31</f>
        <v>-460800.0</v>
      </c>
      <c r="E10" s="18">
        <f>-Inputs!E31</f>
        <v>-276480.0</v>
      </c>
      <c r="F10" s="18">
        <f>-Inputs!F31</f>
        <v>-276480.0</v>
      </c>
    </row>
    <row r="11" spans="1:7">
      <c r="A11" s="3" t="s">
        <v>94</v>
      </c>
      <c r="B11" s="19">
        <f>SUM(B7:B10)</f>
        <v>230000.0</v>
      </c>
      <c r="C11" s="19">
        <f>SUM(C7:C10)</f>
        <v>482000.0</v>
      </c>
      <c r="D11" s="19">
        <f>SUM(D7:D10)</f>
        <v>1149200.0</v>
      </c>
      <c r="E11" s="19">
        <f>SUM(E7:E10)</f>
        <v>883520.0</v>
      </c>
      <c r="F11" s="19">
        <f>SUM(F7:F10)</f>
        <v>253520.0</v>
      </c>
    </row>
    <row r="12" spans="1:7">
      <c r="A12" s="4" t="s">
        <v>95</v>
      </c>
      <c r="B12" s="18">
        <f>-B11*Inputs!$B$8</f>
        <v>-57500.0</v>
      </c>
      <c r="C12" s="18">
        <f>-C11*Inputs!$B$8</f>
        <v>-120500.0</v>
      </c>
      <c r="D12" s="18">
        <f>-D11*Inputs!$B$8</f>
        <v>-287300.0</v>
      </c>
      <c r="E12" s="18">
        <f>-E11*Inputs!$B$8</f>
        <v>-220880.0</v>
      </c>
      <c r="F12" s="18">
        <f>-F11*Inputs!$B$8</f>
        <v>-63380.0</v>
      </c>
    </row>
    <row r="13" spans="1:7">
      <c r="A13" s="3" t="s">
        <v>96</v>
      </c>
      <c r="B13" s="19">
        <f>B11+B12</f>
        <v>172500.0</v>
      </c>
      <c r="C13" s="19">
        <f>C11+C12</f>
        <v>361500.0</v>
      </c>
      <c r="D13" s="19">
        <f>D11+D12</f>
        <v>861900.0</v>
      </c>
      <c r="E13" s="19">
        <f>E11+E12</f>
        <v>662640.0</v>
      </c>
      <c r="F13" s="19">
        <f>F11+F12</f>
        <v>190140.0</v>
      </c>
    </row>
    <row r="15" spans="1:7">
      <c r="A15" s="5" t="s">
        <v>97</v>
      </c>
      <c r="B15" s="5"/>
      <c r="C15" s="5"/>
      <c r="D15" s="5"/>
      <c r="E15" s="5"/>
      <c r="F15" s="5"/>
      <c r="G15" s="5"/>
    </row>
    <row r="16" spans="1:7">
      <c r="A16" s="10" t="s">
        <v>98</v>
      </c>
    </row>
    <row r="17" spans="1:6">
      <c r="A17" s="5" t="s">
        <v>57</v>
      </c>
      <c r="B17" s="17">
        <v>1</v>
      </c>
      <c r="C17" s="17">
        <v>2</v>
      </c>
      <c r="D17" s="17">
        <v>3</v>
      </c>
      <c r="E17" s="17">
        <v>4</v>
      </c>
      <c r="F17" s="17">
        <v>5</v>
      </c>
    </row>
    <row r="18" spans="1:6">
      <c r="A18" s="4" t="s">
        <v>94</v>
      </c>
      <c r="B18" s="18">
        <f>B11</f>
        <v>230000.0</v>
      </c>
      <c r="C18" s="18">
        <f>C11</f>
        <v>482000.0</v>
      </c>
      <c r="D18" s="18">
        <f>D11</f>
        <v>1149200.0</v>
      </c>
      <c r="E18" s="18">
        <f>E11</f>
        <v>883520.0</v>
      </c>
      <c r="F18" s="18">
        <f>F11</f>
        <v>253520.0</v>
      </c>
    </row>
    <row r="19" spans="1:6">
      <c r="A19" s="4" t="s">
        <v>95</v>
      </c>
      <c r="B19" s="18">
        <f>B12</f>
        <v>-57500.0</v>
      </c>
      <c r="C19" s="18">
        <f>C12</f>
        <v>-120500.0</v>
      </c>
      <c r="D19" s="18">
        <f>D12</f>
        <v>-287300.0</v>
      </c>
      <c r="E19" s="18">
        <f>E12</f>
        <v>-220880.0</v>
      </c>
      <c r="F19" s="18">
        <f>F12</f>
        <v>-63380.0</v>
      </c>
    </row>
    <row r="20" spans="1:6">
      <c r="A20" s="4" t="s">
        <v>99</v>
      </c>
      <c r="B20" s="18">
        <f>-B10</f>
        <v>480000.0</v>
      </c>
      <c r="C20" s="18">
        <f>-C10</f>
        <v>768000.0</v>
      </c>
      <c r="D20" s="18">
        <f>-D10</f>
        <v>460800.0</v>
      </c>
      <c r="E20" s="18">
        <f>-E10</f>
        <v>276480.0</v>
      </c>
      <c r="F20" s="18">
        <f>-F10</f>
        <v>276480.0</v>
      </c>
    </row>
    <row r="21" spans="1:6">
      <c r="A21" s="3" t="s">
        <v>100</v>
      </c>
      <c r="B21" s="19">
        <f>SUM(B18:B20)</f>
        <v>652500.0</v>
      </c>
      <c r="C21" s="19">
        <f>SUM(C18:C20)</f>
        <v>1129500.0</v>
      </c>
      <c r="D21" s="19">
        <f>SUM(D18:D20)</f>
        <v>1322700.0</v>
      </c>
      <c r="E21" s="19">
        <f>SUM(E18:E20)</f>
        <v>939120.0</v>
      </c>
      <c r="F21" s="19">
        <f>SUM(F18:F20)</f>
        <v>466620.0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40.7109375" customWidth="1"/>
    <col min="2" max="13" width="14.7109375" customWidth="1"/>
  </cols>
  <sheetData>
    <row r="1" spans="1:7" ht="21" customHeight="1">
      <c r="A1" s="2" t="s">
        <v>101</v>
      </c>
    </row>
    <row r="4" spans="1:7">
      <c r="A4" s="5" t="s">
        <v>102</v>
      </c>
      <c r="B4" s="5"/>
      <c r="C4" s="5"/>
      <c r="D4" s="5"/>
      <c r="E4" s="5"/>
      <c r="F4" s="5"/>
      <c r="G4" s="5"/>
    </row>
    <row r="5" spans="1:7">
      <c r="A5" s="4" t="s">
        <v>103</v>
      </c>
      <c r="B5" s="21">
        <f>SUM(Inputs!$B$30:$F$30)</f>
        <v>0.9424</v>
      </c>
    </row>
    <row r="6" spans="1:7">
      <c r="A6" s="4" t="s">
        <v>104</v>
      </c>
      <c r="B6" s="18">
        <f>Inputs!$B$5*(1-B5)</f>
        <v>138239.99999999997</v>
      </c>
    </row>
    <row r="7" spans="1:7">
      <c r="A7" s="4" t="s">
        <v>105</v>
      </c>
      <c r="B7" s="18">
        <f>Inputs!$B$6</f>
        <v>350000.0</v>
      </c>
    </row>
    <row r="8" spans="1:7">
      <c r="A8" s="4" t="s">
        <v>106</v>
      </c>
      <c r="B8" s="18">
        <f>B7-B6</f>
        <v>211760.00000000003</v>
      </c>
    </row>
    <row r="9" spans="1:7">
      <c r="A9" s="4" t="s">
        <v>107</v>
      </c>
      <c r="B9" s="18">
        <f>B8*Inputs!$B$8</f>
        <v>52940.00000000001</v>
      </c>
    </row>
    <row r="10" spans="1:7">
      <c r="A10" s="3" t="s">
        <v>102</v>
      </c>
      <c r="B10" s="19">
        <f>B7-B9</f>
        <v>297060.0</v>
      </c>
    </row>
    <row r="12" spans="1:7">
      <c r="A12" s="5" t="s">
        <v>108</v>
      </c>
      <c r="B12" s="5"/>
      <c r="C12" s="5"/>
      <c r="D12" s="5"/>
      <c r="E12" s="5"/>
      <c r="F12" s="5"/>
      <c r="G12" s="5"/>
    </row>
    <row r="13" spans="1:7">
      <c r="A13" s="5" t="s">
        <v>57</v>
      </c>
      <c r="B13" s="17">
        <v>0</v>
      </c>
      <c r="C13" s="17">
        <v>1</v>
      </c>
      <c r="D13" s="17">
        <v>2</v>
      </c>
      <c r="E13" s="17">
        <v>3</v>
      </c>
      <c r="F13" s="17">
        <v>4</v>
      </c>
      <c r="G13" s="17">
        <v>5</v>
      </c>
    </row>
    <row r="14" spans="1:7">
      <c r="A14" s="4" t="s">
        <v>97</v>
      </c>
      <c r="C14" s="18">
        <f>'Pro Forma'!B21</f>
        <v>652500.0</v>
      </c>
      <c r="D14" s="18">
        <f>'Pro Forma'!C21</f>
        <v>1129500.0</v>
      </c>
      <c r="E14" s="18">
        <f>'Pro Forma'!D21</f>
        <v>1322700.0</v>
      </c>
      <c r="F14" s="18">
        <f>'Pro Forma'!E21</f>
        <v>939120.0</v>
      </c>
      <c r="G14" s="18">
        <f>'Pro Forma'!F21</f>
        <v>466620.0</v>
      </c>
    </row>
    <row r="15" spans="1:7">
      <c r="A15" s="4" t="s">
        <v>109</v>
      </c>
      <c r="C15" s="18">
        <f>-Inputs!$B$10</f>
        <v>-80000.0</v>
      </c>
      <c r="D15" s="18">
        <f>-Inputs!$B$10</f>
        <v>-80000.0</v>
      </c>
      <c r="E15" s="18">
        <f>-Inputs!$B$10</f>
        <v>-80000.0</v>
      </c>
      <c r="F15" s="18">
        <f>-Inputs!$B$10</f>
        <v>-80000.0</v>
      </c>
      <c r="G15" s="18">
        <f>-Inputs!$B$10</f>
        <v>-80000.0</v>
      </c>
    </row>
    <row r="16" spans="1:7">
      <c r="A16" s="4" t="s">
        <v>110</v>
      </c>
      <c r="B16" s="18">
        <f>-Inputs!$B$5</f>
        <v>-2400000.0</v>
      </c>
    </row>
    <row r="17" spans="1:7">
      <c r="A17" s="4" t="s">
        <v>81</v>
      </c>
      <c r="B17" s="18">
        <f>-Inputs!$B$7</f>
        <v>-300000.0</v>
      </c>
      <c r="G17" s="18">
        <f>Inputs!$B$7</f>
        <v>300000.0</v>
      </c>
    </row>
    <row r="18" spans="1:7">
      <c r="A18" s="4" t="s">
        <v>102</v>
      </c>
      <c r="G18" s="18">
        <f>$B$10</f>
        <v>297060.0</v>
      </c>
    </row>
    <row r="19" spans="1:7">
      <c r="A19" s="3" t="s">
        <v>111</v>
      </c>
      <c r="B19" s="19">
        <f>SUM(B14:B18)</f>
        <v>-2700000.0</v>
      </c>
      <c r="C19" s="19">
        <f>SUM(C14:C18)</f>
        <v>572500.0</v>
      </c>
      <c r="D19" s="19">
        <f>SUM(D14:D18)</f>
        <v>1049500.0</v>
      </c>
      <c r="E19" s="19">
        <f>SUM(E14:E18)</f>
        <v>1242700.0</v>
      </c>
      <c r="F19" s="19">
        <f>SUM(F14:F18)</f>
        <v>859120.0</v>
      </c>
      <c r="G19" s="19">
        <f>SUM(G14:G18)</f>
        <v>983680.0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40.7109375" customWidth="1"/>
    <col min="2" max="13" width="14.7109375" customWidth="1"/>
  </cols>
  <sheetData>
    <row r="1" spans="1:7" ht="21" customHeight="1">
      <c r="A1" s="2" t="s">
        <v>112</v>
      </c>
    </row>
    <row r="4" spans="1:7">
      <c r="A4" s="5" t="s">
        <v>57</v>
      </c>
      <c r="B4" s="17">
        <v>0</v>
      </c>
      <c r="C4" s="17">
        <v>1</v>
      </c>
      <c r="D4" s="17">
        <v>2</v>
      </c>
      <c r="E4" s="17">
        <v>3</v>
      </c>
      <c r="F4" s="17">
        <v>4</v>
      </c>
      <c r="G4" s="17">
        <v>5</v>
      </c>
    </row>
    <row r="5" spans="1:7">
      <c r="A5" s="4" t="s">
        <v>111</v>
      </c>
      <c r="B5" s="18">
        <f>'Cash Flows'!B19</f>
        <v>-2700000.0</v>
      </c>
      <c r="C5" s="18">
        <f>'Cash Flows'!C19</f>
        <v>572500.0</v>
      </c>
      <c r="D5" s="18">
        <f>'Cash Flows'!D19</f>
        <v>1049500.0</v>
      </c>
      <c r="E5" s="18">
        <f>'Cash Flows'!E19</f>
        <v>1242700.0</v>
      </c>
      <c r="F5" s="18">
        <f>'Cash Flows'!F19</f>
        <v>859120.0</v>
      </c>
      <c r="G5" s="18">
        <f>'Cash Flows'!G19</f>
        <v>983680.0</v>
      </c>
    </row>
    <row r="6" spans="1:7">
      <c r="A6" s="4" t="s">
        <v>113</v>
      </c>
      <c r="B6" s="22">
        <f>1/(1+Inputs!$B$9)^B4</f>
        <v>1.0</v>
      </c>
      <c r="C6" s="22">
        <f>1/(1+Inputs!$B$9)^C4</f>
        <v>0.9009009009009008</v>
      </c>
      <c r="D6" s="22">
        <f>1/(1+Inputs!$B$9)^D4</f>
        <v>0.8116224332440547</v>
      </c>
      <c r="E6" s="22">
        <f>1/(1+Inputs!$B$9)^E4</f>
        <v>0.7311913813009502</v>
      </c>
      <c r="F6" s="22">
        <f>1/(1+Inputs!$B$9)^F4</f>
        <v>0.6587309741450001</v>
      </c>
      <c r="G6" s="22">
        <f>1/(1+Inputs!$B$9)^G4</f>
        <v>0.5934513280585586</v>
      </c>
    </row>
    <row r="7" spans="1:7">
      <c r="A7" s="4" t="s">
        <v>114</v>
      </c>
      <c r="B7" s="18">
        <f>B5*B6</f>
        <v>-2700000.0</v>
      </c>
      <c r="C7" s="18">
        <f>C5*C6</f>
        <v>515765.76576576574</v>
      </c>
      <c r="D7" s="18">
        <f>D5*D6</f>
        <v>851797.7436896354</v>
      </c>
      <c r="E7" s="18">
        <f>E5*E6</f>
        <v>908651.5295426908</v>
      </c>
      <c r="F7" s="18">
        <f>F5*F6</f>
        <v>565928.9545074526</v>
      </c>
      <c r="G7" s="18">
        <f>G5*G6</f>
        <v>583766.2023846429</v>
      </c>
    </row>
    <row r="8" spans="1:7">
      <c r="A8" s="4" t="s">
        <v>115</v>
      </c>
      <c r="B8" s="18">
        <f>B5</f>
        <v>-2700000.0</v>
      </c>
      <c r="C8" s="18">
        <f>B8+C5</f>
        <v>-2127500.0</v>
      </c>
      <c r="D8" s="18">
        <f>C8+D5</f>
        <v>-1078000.0</v>
      </c>
      <c r="E8" s="18">
        <f>D8+E5</f>
        <v>164700.0</v>
      </c>
      <c r="F8" s="18">
        <f>E8+F5</f>
        <v>1023820.0</v>
      </c>
      <c r="G8" s="18">
        <f>F8+G5</f>
        <v>2007500.0</v>
      </c>
    </row>
    <row r="9" spans="1:7">
      <c r="A9" s="4" t="s">
        <v>116</v>
      </c>
      <c r="B9" s="18">
        <f>B7</f>
        <v>-2700000.0</v>
      </c>
      <c r="C9" s="18">
        <f>B9+C7</f>
        <v>-2184234.2342342343</v>
      </c>
      <c r="D9" s="18">
        <f>C9+D7</f>
        <v>-1332436.490544599</v>
      </c>
      <c r="E9" s="18">
        <f>D9+E7</f>
        <v>-423784.9610019082</v>
      </c>
      <c r="F9" s="18">
        <f>E9+F7</f>
        <v>142143.99350554438</v>
      </c>
      <c r="G9" s="18">
        <f>F9+G7</f>
        <v>725910.1958901873</v>
      </c>
    </row>
    <row r="11" spans="1:7">
      <c r="A11" s="5" t="s">
        <v>117</v>
      </c>
      <c r="B11" s="5"/>
      <c r="C11" s="5"/>
      <c r="D11" s="5"/>
      <c r="E11" s="5"/>
      <c r="F11" s="5"/>
      <c r="G11" s="5"/>
    </row>
    <row r="12" spans="1:7">
      <c r="A12" s="5" t="s">
        <v>118</v>
      </c>
      <c r="B12" s="20" t="s">
        <v>119</v>
      </c>
      <c r="C12" s="20" t="s">
        <v>120</v>
      </c>
      <c r="D12" s="20" t="s">
        <v>121</v>
      </c>
    </row>
    <row r="13" spans="1:7">
      <c r="A13" s="4" t="s">
        <v>122</v>
      </c>
      <c r="B13" s="19">
        <f>NPV(Inputs!$B$9,$C$5:$G$5)+$B$5</f>
        <v>725910.1958901873</v>
      </c>
      <c r="C13" s="4" t="s">
        <v>123</v>
      </c>
      <c r="D13" s="23" t="str">
        <f>IF(B13&gt;0,"ACCEPT","REJECT")</f>
        <v>ACCEPT</v>
      </c>
    </row>
    <row r="14" spans="1:7">
      <c r="A14" s="4" t="s">
        <v>124</v>
      </c>
      <c r="B14" s="24">
        <f>IRR($B$5:$G$5)</f>
        <v>0.20544202510419163</v>
      </c>
      <c r="C14" s="25" t="str">
        <f>"IRR &gt; WACC ("&amp;TEXT(Inputs!$B$9,"0%")&amp;")"</f>
        <v>IRR &gt; WACC (11%)</v>
      </c>
      <c r="D14" s="23" t="str">
        <f>IF(B14&gt;Inputs!$B$9,"ACCEPT","REJECT")</f>
        <v>ACCEPT</v>
      </c>
    </row>
    <row r="15" spans="1:7">
      <c r="A15" s="4" t="s">
        <v>125</v>
      </c>
      <c r="B15" s="26">
        <f>NPV(Inputs!$B$9,$C$5:$G$5)/-$B$5</f>
        <v>1.2688556281074768</v>
      </c>
      <c r="C15" s="4" t="s">
        <v>126</v>
      </c>
      <c r="D15" s="23" t="str">
        <f>IF(B15&gt;1,"ACCEPT","REJECT")</f>
        <v>ACCEPT</v>
      </c>
    </row>
    <row r="16" spans="1:7">
      <c r="A16" s="4" t="s">
        <v>127</v>
      </c>
      <c r="B16" s="18">
        <f>SUM($B$7:$G$7)</f>
        <v>725910.1958901875</v>
      </c>
    </row>
    <row r="18" spans="1:7">
      <c r="A18" s="5" t="s">
        <v>128</v>
      </c>
      <c r="B18" s="5"/>
      <c r="C18" s="5"/>
      <c r="D18" s="5"/>
      <c r="E18" s="5"/>
      <c r="F18" s="5"/>
      <c r="G18" s="5"/>
    </row>
    <row r="19" spans="1:7">
      <c r="A19" s="4" t="s">
        <v>129</v>
      </c>
      <c r="B19" s="27">
        <f>IF($G$8&lt;0,"Not recovered",(COUNTIF($B$8:$G$8,"&lt;0")-1)+ABS(INDEX($B$8:$G$8,COUNTIF($B$8:$G$8,"&lt;0")))/INDEX($B$5:$G$5,COUNTIF($B$8:$G$8,"&lt;0")+1))</f>
        <v>2.867466001448459</v>
      </c>
    </row>
    <row r="20" spans="1:7">
      <c r="A20" s="4" t="s">
        <v>130</v>
      </c>
      <c r="B20" s="27">
        <f>IF($G$9&lt;0,"Not recovered",(COUNTIF($B$9:$G$9,"&lt;0")-1)+ABS(INDEX($B$9:$G$9,COUNTIF($B$9:$G$9,"&lt;0")))/INDEX($B$7:$G$7,COUNTIF($B$9:$G$9,"&lt;0")+1))</f>
        <v>3.748830674993017</v>
      </c>
    </row>
    <row r="21" spans="1:7">
      <c r="A21" s="4" t="s">
        <v>51</v>
      </c>
      <c r="B21" s="28">
        <f>Inputs!$B$15</f>
        <v>3.0</v>
      </c>
    </row>
    <row r="22" spans="1:7">
      <c r="A22" s="4" t="s">
        <v>131</v>
      </c>
      <c r="B22" s="23" t="str">
        <f>IF(ISNUMBER(B19),IF(B19&lt;=B21,"Yes","No"),"No")</f>
        <v>Yes</v>
      </c>
    </row>
    <row r="23" spans="1:7">
      <c r="A23" s="4" t="s">
        <v>132</v>
      </c>
      <c r="B23" s="23" t="str">
        <f>IF(ISNUMBER(B20),IF(B20&lt;=B21,"Yes","No"),"No")</f>
        <v>No</v>
      </c>
    </row>
    <row r="25" spans="1:7">
      <c r="A25" s="10" t="s">
        <v>133</v>
      </c>
    </row>
    <row r="26" spans="1:7">
      <c r="A26" s="10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40.7109375" customWidth="1"/>
    <col min="2" max="13" width="14.7109375" customWidth="1"/>
  </cols>
  <sheetData>
    <row r="1" spans="1:7" ht="21" customHeight="1">
      <c r="A1" s="2" t="s">
        <v>135</v>
      </c>
    </row>
    <row r="2" spans="1:7">
      <c r="A2" s="10" t="s">
        <v>136</v>
      </c>
    </row>
    <row r="4" spans="1:7">
      <c r="A4" s="5" t="s">
        <v>137</v>
      </c>
      <c r="B4" s="5"/>
      <c r="C4" s="5"/>
      <c r="D4" s="5"/>
      <c r="E4" s="5"/>
      <c r="F4" s="5"/>
      <c r="G4" s="5"/>
    </row>
    <row r="5" spans="1:7">
      <c r="A5" s="4" t="s">
        <v>138</v>
      </c>
      <c r="B5" s="12">
        <v>2400000</v>
      </c>
    </row>
    <row r="6" spans="1:7">
      <c r="A6" s="4" t="s">
        <v>139</v>
      </c>
      <c r="B6" s="12">
        <v>700000</v>
      </c>
    </row>
    <row r="8" spans="1:7">
      <c r="A8" s="5" t="s">
        <v>57</v>
      </c>
      <c r="B8" s="17">
        <v>0</v>
      </c>
      <c r="C8" s="17">
        <v>1</v>
      </c>
      <c r="D8" s="17">
        <v>2</v>
      </c>
      <c r="E8" s="17">
        <v>3</v>
      </c>
      <c r="F8" s="17">
        <v>4</v>
      </c>
      <c r="G8" s="17">
        <v>5</v>
      </c>
    </row>
    <row r="9" spans="1:7">
      <c r="A9" s="4" t="s">
        <v>140</v>
      </c>
      <c r="B9" s="18">
        <f>-$B$5</f>
        <v>-2400000.0</v>
      </c>
      <c r="C9" s="18">
        <f>$B$6</f>
        <v>700000.0</v>
      </c>
      <c r="D9" s="18">
        <f>$B$6</f>
        <v>700000.0</v>
      </c>
      <c r="E9" s="18">
        <f>$B$6</f>
        <v>700000.0</v>
      </c>
      <c r="F9" s="18">
        <f>$B$6</f>
        <v>700000.0</v>
      </c>
      <c r="G9" s="18">
        <f>$B$6</f>
        <v>700000.0</v>
      </c>
    </row>
    <row r="10" spans="1:7">
      <c r="A10" s="4" t="s">
        <v>113</v>
      </c>
      <c r="B10" s="22">
        <f>1/(1+Inputs!$B$9)^B8</f>
        <v>1.0</v>
      </c>
      <c r="C10" s="22">
        <f>1/(1+Inputs!$B$9)^C8</f>
        <v>0.9009009009009008</v>
      </c>
      <c r="D10" s="22">
        <f>1/(1+Inputs!$B$9)^D8</f>
        <v>0.8116224332440547</v>
      </c>
      <c r="E10" s="22">
        <f>1/(1+Inputs!$B$9)^E8</f>
        <v>0.7311913813009502</v>
      </c>
      <c r="F10" s="22">
        <f>1/(1+Inputs!$B$9)^F8</f>
        <v>0.6587309741450001</v>
      </c>
      <c r="G10" s="22">
        <f>1/(1+Inputs!$B$9)^G8</f>
        <v>0.5934513280585586</v>
      </c>
    </row>
    <row r="11" spans="1:7">
      <c r="A11" s="4" t="s">
        <v>114</v>
      </c>
      <c r="B11" s="18">
        <f>B9*B10</f>
        <v>-2400000.0</v>
      </c>
      <c r="C11" s="18">
        <f>C9*C10</f>
        <v>630630.6306306305</v>
      </c>
      <c r="D11" s="18">
        <f>D9*D10</f>
        <v>568135.7032708384</v>
      </c>
      <c r="E11" s="18">
        <f>E9*E10</f>
        <v>511833.96691066516</v>
      </c>
      <c r="F11" s="18">
        <f>F9*F10</f>
        <v>461111.6819015001</v>
      </c>
      <c r="G11" s="18">
        <f>G9*G10</f>
        <v>415415.929640991</v>
      </c>
    </row>
    <row r="12" spans="1:7">
      <c r="A12" s="4" t="s">
        <v>141</v>
      </c>
      <c r="B12" s="18">
        <f>'Decision Metrics'!B5</f>
        <v>-2700000.0</v>
      </c>
      <c r="C12" s="18">
        <f>'Decision Metrics'!C5</f>
        <v>572500.0</v>
      </c>
      <c r="D12" s="18">
        <f>'Decision Metrics'!D5</f>
        <v>1049500.0</v>
      </c>
      <c r="E12" s="18">
        <f>'Decision Metrics'!E5</f>
        <v>1242700.0</v>
      </c>
      <c r="F12" s="18">
        <f>'Decision Metrics'!F5</f>
        <v>859120.0</v>
      </c>
      <c r="G12" s="18">
        <f>'Decision Metrics'!G5</f>
        <v>983680.0</v>
      </c>
    </row>
    <row r="13" spans="1:7">
      <c r="A13" s="4" t="s">
        <v>142</v>
      </c>
      <c r="B13" s="18">
        <f>B12-B9</f>
        <v>-300000.0</v>
      </c>
      <c r="C13" s="18">
        <f>C12-C9</f>
        <v>-127500.0</v>
      </c>
      <c r="D13" s="18">
        <f>D12-D9</f>
        <v>349500.0</v>
      </c>
      <c r="E13" s="18">
        <f>E12-E9</f>
        <v>542700.0</v>
      </c>
      <c r="F13" s="18">
        <f>F12-F9</f>
        <v>159120.0</v>
      </c>
      <c r="G13" s="18">
        <f>G12-G9</f>
        <v>283680.0</v>
      </c>
    </row>
    <row r="15" spans="1:7">
      <c r="A15" s="4" t="s">
        <v>143</v>
      </c>
      <c r="B15" s="19">
        <f>NPV(Inputs!$B$9,$C$9:$G$9)+$B$9</f>
        <v>187127.91235462512</v>
      </c>
    </row>
    <row r="16" spans="1:7">
      <c r="A16" s="4" t="s">
        <v>144</v>
      </c>
      <c r="B16" s="18">
        <f>-$B$5+$B$6*(1-(1+Inputs!$B$9)^-5)/Inputs!$B$9</f>
        <v>187127.91235462716</v>
      </c>
    </row>
    <row r="17" spans="1:7">
      <c r="A17" s="4" t="s">
        <v>145</v>
      </c>
      <c r="B17" s="24">
        <f>IRR($B$9:$G$9)</f>
        <v>0.14054712500717959</v>
      </c>
    </row>
    <row r="18" spans="1:7">
      <c r="A18" s="4" t="s">
        <v>146</v>
      </c>
      <c r="B18" s="29">
        <f>NPV(Inputs!$B$9,$C$9:$G$9)/$B$5</f>
        <v>1.077969963481094</v>
      </c>
    </row>
    <row r="19" spans="1:7">
      <c r="A19" s="4" t="s">
        <v>147</v>
      </c>
      <c r="B19" s="24">
        <f>IRR($B$13:$G$13)</f>
        <v>0.4998846161062319</v>
      </c>
    </row>
    <row r="20" spans="1:7">
      <c r="A20" s="10" t="s">
        <v>148</v>
      </c>
    </row>
    <row r="22" spans="1:7">
      <c r="A22" s="5" t="s">
        <v>149</v>
      </c>
      <c r="B22" s="5"/>
      <c r="C22" s="5"/>
      <c r="D22" s="5"/>
      <c r="E22" s="5"/>
      <c r="F22" s="5"/>
      <c r="G22" s="5"/>
    </row>
    <row r="23" spans="1:7">
      <c r="A23" s="5" t="s">
        <v>118</v>
      </c>
      <c r="B23" s="20" t="s">
        <v>150</v>
      </c>
      <c r="C23" s="20" t="s">
        <v>151</v>
      </c>
      <c r="D23" s="20" t="s">
        <v>152</v>
      </c>
    </row>
    <row r="24" spans="1:7">
      <c r="A24" s="4" t="s">
        <v>153</v>
      </c>
      <c r="B24" s="18">
        <f>'Decision Metrics'!$B$13</f>
        <v>725910.1958901873</v>
      </c>
      <c r="C24" s="18">
        <f>$B$15</f>
        <v>187127.91235462512</v>
      </c>
      <c r="D24" s="23" t="str">
        <f>IF(B24&gt;C24,"Commercial","Residential")</f>
        <v>Commercial</v>
      </c>
    </row>
    <row r="25" spans="1:7">
      <c r="A25" s="4" t="s">
        <v>154</v>
      </c>
      <c r="B25" s="21">
        <f>'Decision Metrics'!$B$14</f>
        <v>0.20544202510419163</v>
      </c>
      <c r="C25" s="21">
        <f>$B$17</f>
        <v>0.14054712500717959</v>
      </c>
      <c r="D25" s="23" t="str">
        <f>IF(B25&gt;C25,"Commercial","Residential")</f>
        <v>Commercial</v>
      </c>
    </row>
    <row r="26" spans="1:7">
      <c r="A26" s="4" t="s">
        <v>125</v>
      </c>
      <c r="B26" s="29">
        <f>'Decision Metrics'!$B$15</f>
        <v>1.2688556281074768</v>
      </c>
      <c r="C26" s="29">
        <f>$B$18</f>
        <v>1.077969963481094</v>
      </c>
      <c r="D26" s="23" t="str">
        <f>IF(B26&gt;C26,"Commercial","Residential")</f>
        <v>Commercial</v>
      </c>
    </row>
    <row r="28" spans="1:7">
      <c r="A28" s="3" t="s">
        <v>155</v>
      </c>
      <c r="B28" s="30" t="str">
        <f>IF(B24&gt;C24,"Choose the commercial division","Choose the residential upgrade")</f>
        <v>Choose the commercial division</v>
      </c>
    </row>
    <row r="29" spans="1:7">
      <c r="A29" s="4" t="s">
        <v>156</v>
      </c>
      <c r="B29" s="23" t="str">
        <f>IF((B24&gt;C24)=(B25&gt;C25),"Yes: both rank the same project first","No: follow NPV")</f>
        <v>Yes: both rank the same project first</v>
      </c>
    </row>
    <row r="31" spans="1:7">
      <c r="A31" s="5" t="s">
        <v>157</v>
      </c>
      <c r="B31" s="5"/>
      <c r="C31" s="5"/>
      <c r="D31" s="5"/>
      <c r="E31" s="5"/>
      <c r="F31" s="5"/>
      <c r="G31" s="5"/>
    </row>
    <row r="32" spans="1:7">
      <c r="A32" s="10" t="s">
        <v>158</v>
      </c>
    </row>
    <row r="33" spans="1:1">
      <c r="A33" s="10" t="s">
        <v>159</v>
      </c>
    </row>
    <row r="34" spans="1:1">
      <c r="A34" s="10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About</vt:lpstr>
      <vt:lpstr>Inputs</vt:lpstr>
      <vt:lpstr>Relevant Cash Flows</vt:lpstr>
      <vt:lpstr>Pro Forma</vt:lpstr>
      <vt:lpstr>Cash Flows</vt:lpstr>
      <vt:lpstr>Decision Metrics</vt:lpstr>
      <vt:lpstr>Mutually Exclusive</vt:lpstr>
    </vt:vector>
  </TitlesOfParts>
  <Company>akram.education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Akram Ayyash</dc:creator>
  <dc:description>My own material, free to use for learning. Not an official FGCU document.</dc:description>
  <cp:lastModifiedBy>Akram Ayyash</cp:lastModifiedBy>
  <dcterms:created xsi:type="dcterms:W3CDTF">2026-10-09T19:10:09Z</dcterms:created>
  <dcterms:modified xsi:type="dcterms:W3CDTF">2026-10-09T19:10:09Z</dcterms:modified>
</cp:coreProperties>
</file>