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24000" windowHeight="15000"/>
  </bookViews>
  <sheets>
    <sheet name="About" sheetId="1" r:id="rId1"/>
    <sheet name="Data Center" sheetId="2" r:id="rId2"/>
    <sheet name="Funding" sheetId="3" r:id="rId3"/>
  </sheets>
  <calcPr calcId="124519" fullCalcOnLoad="1"/>
</workbook>
</file>

<file path=xl/sharedStrings.xml><?xml version="1.0" encoding="utf-8"?>
<sst xmlns="http://schemas.openxmlformats.org/spreadsheetml/2006/main" count="166" uniqueCount="148">
  <si>
    <t>akram.education</t>
  </si>
  <si>
    <t>Big Tech's AI bet: a data center model</t>
  </si>
  <si>
    <t>FIN 3414  Financial Management</t>
  </si>
  <si>
    <t>Florida Gulf Coast University</t>
  </si>
  <si>
    <t>What this workbook is for</t>
  </si>
  <si>
    <t>Value a hypothetical $48 billion AI data center the way a CFO would (pro forma, operating cash flow, NPV, IRR, payback and a revenue sensitivity), then weigh how to pay for it. Goes with the case "Big Tech's $650B bet" on akram.education.</t>
  </si>
  <si>
    <t>How to use it</t>
  </si>
  <si>
    <t>On Data Center, change the investment, tax rate, WACC or any revenue or cost figure. Everything below recalculates, including the scenarios and the revenue multiple that brings NPV to zero.</t>
  </si>
  <si>
    <t>The project is hypothetical: its numbers are set to a plausible size and are not Alphabet's. All amounts are in billions of dollars.</t>
  </si>
  <si>
    <t>Funding holds the real company figures, each labeled with its date and source: 2026 capex guidance given with fourth-quarter 2025 results (January and February 2026), free cash flow and buybacks for 2024 as reported, and Alphabet's cash, S&amp;P rating and February 2026 bond issue.</t>
  </si>
  <si>
    <t>Sheets</t>
  </si>
  <si>
    <t>Data Center</t>
  </si>
  <si>
    <t>The $48B project: pro forma, cash flows, NPV, IRR, payback, discounted payback and a revenue sensitivity.</t>
  </si>
  <si>
    <t>Funding</t>
  </si>
  <si>
    <t>Big Tech AI capex guidance against free cash flow, Alphabet's financial position, a ranking of four ways to fund the project, and how the market reacted to each company's plans.</t>
  </si>
  <si>
    <t>Colour key</t>
  </si>
  <si>
    <t>Input: blue on pale yellow. Change these and the workbook recalculates.</t>
  </si>
  <si>
    <t>Formula: black. Calculated from the inputs; no need to type over it.</t>
  </si>
  <si>
    <t>Note</t>
  </si>
  <si>
    <t>Note: grey italic. Explanation only.</t>
  </si>
  <si>
    <t>Header</t>
  </si>
  <si>
    <t>Header row: white bold on teal.</t>
  </si>
  <si>
    <t>About this file</t>
  </si>
  <si>
    <t>Version</t>
  </si>
  <si>
    <t>1.1</t>
  </si>
  <si>
    <t>Date</t>
  </si>
  <si>
    <t>October 2026</t>
  </si>
  <si>
    <t>Author</t>
  </si>
  <si>
    <t>Akram Ayyash, akram.education</t>
  </si>
  <si>
    <t>My own material, free to use for learning. Not an official FGCU document.</t>
  </si>
  <si>
    <t>A $48B AI data center: does it pay?</t>
  </si>
  <si>
    <t>Hypothetical project with illustrative numbers. All amounts in $ billions.</t>
  </si>
  <si>
    <t>Inputs</t>
  </si>
  <si>
    <t>Initial investment, Year 0 ($B)</t>
  </si>
  <si>
    <t>Tax rate</t>
  </si>
  <si>
    <t>WACC</t>
  </si>
  <si>
    <t>Project life (years)</t>
  </si>
  <si>
    <t>Annual depreciation ($B)</t>
  </si>
  <si>
    <t>Straight-line to zero over the project life, no salvage.</t>
  </si>
  <si>
    <t>Assumptions ($B per year)</t>
  </si>
  <si>
    <t>Years 1 to 3</t>
  </si>
  <si>
    <t>Years 4 to 6</t>
  </si>
  <si>
    <t>Years 7 and 8</t>
  </si>
  <si>
    <t>Revenue</t>
  </si>
  <si>
    <t>Operating costs</t>
  </si>
  <si>
    <t>Pro forma and operating cash flow ($B per year)</t>
  </si>
  <si>
    <t/>
  </si>
  <si>
    <t>Depreciation</t>
  </si>
  <si>
    <t>EBIT</t>
  </si>
  <si>
    <t>Taxes</t>
  </si>
  <si>
    <t>Net income</t>
  </si>
  <si>
    <t>Add back depreciation</t>
  </si>
  <si>
    <t>OCF</t>
  </si>
  <si>
    <t>Negative EBIT means a negative tax: the loss shelters the company's other income, so the project saves tax. Negative EBIT is not negative cash flow.</t>
  </si>
  <si>
    <t>Cash flow timeline ($B)</t>
  </si>
  <si>
    <t>Cash flow</t>
  </si>
  <si>
    <t>Discount factor</t>
  </si>
  <si>
    <t>Present value</t>
  </si>
  <si>
    <t>Cumulative cash flow</t>
  </si>
  <si>
    <t>Cumulative present value</t>
  </si>
  <si>
    <t>Results</t>
  </si>
  <si>
    <t>NPV ($B, sum of present values)</t>
  </si>
  <si>
    <t>NPV ($B, Excel NPV function)</t>
  </si>
  <si>
    <t>IRR</t>
  </si>
  <si>
    <t>Payback (years)</t>
  </si>
  <si>
    <t>Discounted payback (years)</t>
  </si>
  <si>
    <t>PV of Years 1 to 8 as a share of the investment</t>
  </si>
  <si>
    <t>Decision</t>
  </si>
  <si>
    <t>Sensitivity: scale every revenue figure</t>
  </si>
  <si>
    <t>Operating costs stay put. Each OCF rises by the extra revenue x (1 - tax rate), so NPV moves in a straight line with the multiple.</t>
  </si>
  <si>
    <t>Scenario</t>
  </si>
  <si>
    <t>Revenue multiple</t>
  </si>
  <si>
    <t>OCF, Years 1 to 3</t>
  </si>
  <si>
    <t>OCF, Years 4 to 6</t>
  </si>
  <si>
    <t>OCF, Years 7 and 8</t>
  </si>
  <si>
    <t>NPV ($B)</t>
  </si>
  <si>
    <t>Scenario cash flows ($B)</t>
  </si>
  <si>
    <t>Base case</t>
  </si>
  <si>
    <t>1.5 times revenue</t>
  </si>
  <si>
    <t>2 times revenue</t>
  </si>
  <si>
    <t>Revenue multiple that brings NPV to zero</t>
  </si>
  <si>
    <t>Strategic value needed today to break even ($B)</t>
  </si>
  <si>
    <t>What a standalone model leaves out: strategic and competitive value, the option to expand or repurpose, synergies with the rest of the business, and the forecast itself.</t>
  </si>
  <si>
    <t>Paying for it: four ways to fund $48 billion</t>
  </si>
  <si>
    <t>Real company figures, as reported, each with its date. Capex guidance from fourth-quarter 2025 results; free cash flow and buybacks for 2024.</t>
  </si>
  <si>
    <t>Big Tech AI spending against free cash flow</t>
  </si>
  <si>
    <t>Company</t>
  </si>
  <si>
    <t>2026 capex guidance, low ($B)</t>
  </si>
  <si>
    <t>2026 capex guidance, high ($B)</t>
  </si>
  <si>
    <t>Midpoint ($B)</t>
  </si>
  <si>
    <t>2024 FCF ($B)</t>
  </si>
  <si>
    <t>Midpoint / FCF</t>
  </si>
  <si>
    <t>Amazon</t>
  </si>
  <si>
    <t>Alphabet (Google)</t>
  </si>
  <si>
    <t>Meta</t>
  </si>
  <si>
    <t>Total</t>
  </si>
  <si>
    <t>Capex: guidance given with fourth-quarter 2025 results, late January and early February 2026. Amazon guided about $200B. Alphabet raised its range to $180B to $190B in April 2026.</t>
  </si>
  <si>
    <t>FCF: 2024, as reported. Microsoft is left out: its fiscal year ends in June. Bloomberg (February 6, 2026) put all four companies' planned 2026 capex at about $650B.</t>
  </si>
  <si>
    <t>Alphabet's position</t>
  </si>
  <si>
    <t>Cash and marketable securities, Dec 31, 2025 ($B)</t>
  </si>
  <si>
    <t>Free cash flow, 2024 ($B, as reported)</t>
  </si>
  <si>
    <t>Buybacks, 2024 ($B, as reported)</t>
  </si>
  <si>
    <t>Bond issue, February 9, 2026 ($B)</t>
  </si>
  <si>
    <t>Average coupon on that issue, weighted by size</t>
  </si>
  <si>
    <t>Seven tranches, due 2029 to 2066, coupons 3.70% to 5.75%.</t>
  </si>
  <si>
    <t>Credit rating, S&amp;P</t>
  </si>
  <si>
    <t>AA+</t>
  </si>
  <si>
    <t>After-tax cost of debt = coupon x (1 - tax rate)</t>
  </si>
  <si>
    <t>Cost of equity (approx.)</t>
  </si>
  <si>
    <t>10% or more</t>
  </si>
  <si>
    <t>2024 buybacks less the investment ($B)</t>
  </si>
  <si>
    <t>One year of buybacks alone would cover the $48B. Sources: Alphabet 2025 Form 10-K and 2024 results, S&amp;P Global Ratings, the bond offering's announced terms.</t>
  </si>
  <si>
    <t>Funding options: one defensible ranking</t>
  </si>
  <si>
    <t>Option</t>
  </si>
  <si>
    <t>Rank</t>
  </si>
  <si>
    <t>After-tax cost</t>
  </si>
  <si>
    <t>Reasoning</t>
  </si>
  <si>
    <t>(B) Issue bonds</t>
  </si>
  <si>
    <t>1</t>
  </si>
  <si>
    <t>Cheapest marginal source: interest is tax-deductible, so the after-tax cost is about 3.8%, against a cost of equity of 10% or more. An AA+ borrower has deep, ready access to the bond market. Alphabet did this in February 2026.</t>
  </si>
  <si>
    <t>(A) Use cash on hand</t>
  </si>
  <si>
    <t>2</t>
  </si>
  <si>
    <t>No explicit cost</t>
  </si>
  <si>
    <t>No issuance costs, no dilution, no new obligations. But the cash has an opportunity cost: it is the reserve for acquisitions, downturns and the next opportunity. Better for part of the funding than all of it.</t>
  </si>
  <si>
    <t>(C) Cut the buyback</t>
  </si>
  <si>
    <t>3</t>
  </si>
  <si>
    <t>The signal</t>
  </si>
  <si>
    <t>2024 buybacks of about $62B alone exceed the $48B needed. No new debt, no dilution. The cost is the signal: holders who own the stock for its cash returns may read a cut as bad news.</t>
  </si>
  <si>
    <t>(D) Issue new shares</t>
  </si>
  <si>
    <t>4</t>
  </si>
  <si>
    <t>Last resort. Dilutes existing holders, carries underwriting costs, and suggests management thinks the stock is fully priced. A company with about $73B of free cash flow has no reason to.</t>
  </si>
  <si>
    <t>Pecking order theory (internal funds, then debt, then equity) would put (A) and (C) before (B). For an AA+ borrower the tax shield makes debt cheaper than shareholders' cash.</t>
  </si>
  <si>
    <t>Either order is defensible. New equity comes last on any view.</t>
  </si>
  <si>
    <t>Borrowing much more</t>
  </si>
  <si>
    <t>The cost of debt rises: more debt against the same cash flows means more default risk, possible downgrades and higher coupons.</t>
  </si>
  <si>
    <t>The cost of equity rises too: shareholders are paid after a larger pile of debt (Modigliani-Miller Proposition II).</t>
  </si>
  <si>
    <t>Up to a point the interest tax shield adds value; past it, expected costs of financial distress grow faster than the tax savings.</t>
  </si>
  <si>
    <t>Market reactions to AI capex plans, as reported</t>
  </si>
  <si>
    <t>Reaction</t>
  </si>
  <si>
    <t>What happened, and the market's verdict</t>
  </si>
  <si>
    <t>Up more than 10% after hours</t>
  </si>
  <si>
    <t>Rose more than 10% in after-hours trading on January 28, 2026, after guiding 2026 capex of $115B to $135B, up from $72B in 2025. It had cut buybacks from about $23B in the first half of 2025 to about $3B in the second. Investors could see AI feeding straight into ad targeting, a business they already understand.</t>
  </si>
  <si>
    <t>Microsoft</t>
  </si>
  <si>
    <t>Down 10%</t>
  </si>
  <si>
    <t>Closed 10% lower on January 29, 2026, after reporting record quarterly capital spending of $37.5B. Concern about when the spending would pay off.</t>
  </si>
  <si>
    <t>Down more than 5%</t>
  </si>
  <si>
    <t>Closed more than 5% lower on February 6, 2026, the day after guiding about $200B of 2026 capex, more than five times its 2024 free cash flow. The worry was funding, not only returns.</t>
  </si>
  <si>
    <t>Same decision, different reactions: the market runs its own NPV on each company. The stock price is its estimate of whose assumptions are right.</t>
  </si>
</sst>
</file>

<file path=xl/styles.xml><?xml version="1.0" encoding="utf-8"?>
<styleSheet xmlns="http://schemas.openxmlformats.org/spreadsheetml/2006/main">
  <numFmts count="9">
    <numFmt numFmtId="164" formatCode="#,##0;-#,##0"/>
    <numFmt numFmtId="165" formatCode="0.000"/>
    <numFmt numFmtId="166" formatCode="0.00%"/>
    <numFmt numFmtId="167" formatCode="&quot;Year &quot;0"/>
    <numFmt numFmtId="168" formatCode="0.0000"/>
    <numFmt numFmtId="169" formatCode="0.00"/>
    <numFmt numFmtId="170" formatCode="0.0%"/>
    <numFmt numFmtId="171" formatCode="0.00&quot;x&quot;"/>
    <numFmt numFmtId="172" formatCode="#,##0.00;-#,##0.00"/>
  </numFmts>
  <fonts count="9">
    <font>
      <sz val="11"/>
      <color theme="1"/>
      <name val="Calibri"/>
      <family val="2"/>
      <scheme val="minor"/>
    </font>
    <font>
      <b/>
      <sz val="11"/>
      <color rgb="FF2C7873"/>
      <name val="Calibri"/>
      <family val="2"/>
      <scheme val="minor"/>
    </font>
    <font>
      <b/>
      <sz val="14"/>
      <color rgb="FF14232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4E9F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5B6B6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C7873"/>
        <bgColor indexed="64"/>
      </patternFill>
    </fill>
    <fill>
      <patternFill patternType="solid">
        <fgColor rgb="FFFFF7D6"/>
        <bgColor indexed="64"/>
      </patternFill>
    </fill>
  </fills>
  <borders count="3">
    <border>
      <left/>
      <right/>
      <top/>
      <bottom/>
      <diagonal/>
    </border>
    <border>
      <left style="thin">
        <color rgb="FFD6DFDC"/>
      </left>
      <right style="thin">
        <color rgb="FFD6DFDC"/>
      </right>
      <top style="thin">
        <color rgb="FFD6DFDC"/>
      </top>
      <bottom style="thin">
        <color rgb="FFD6DFDC"/>
      </bottom>
      <diagonal/>
    </border>
    <border>
      <left/>
      <right/>
      <top style="thin">
        <color rgb="FF14232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/>
    <xf numFmtId="0" fontId="4" fillId="2" borderId="0" xfId="0" applyFont="1" applyFill="1" applyAlignment="1">
      <alignment horizontal="left" vertical="center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164" fontId="5" fillId="3" borderId="1" xfId="0" applyNumberFormat="1" applyFont="1" applyFill="1" applyBorder="1"/>
    <xf numFmtId="164" fontId="6" fillId="0" borderId="0" xfId="0" applyNumberFormat="1" applyFont="1"/>
    <xf numFmtId="0" fontId="7" fillId="0" borderId="0" xfId="0" applyFont="1"/>
    <xf numFmtId="0" fontId="0" fillId="0" borderId="0" xfId="0" applyAlignment="1">
      <alignment horizontal="left"/>
    </xf>
    <xf numFmtId="165" fontId="5" fillId="3" borderId="1" xfId="0" applyNumberFormat="1" applyFont="1" applyFill="1" applyBorder="1"/>
    <xf numFmtId="166" fontId="5" fillId="3" borderId="1" xfId="0" applyNumberFormat="1" applyFont="1" applyFill="1" applyBorder="1"/>
    <xf numFmtId="1" fontId="6" fillId="0" borderId="0" xfId="0" applyNumberFormat="1" applyFont="1"/>
    <xf numFmtId="165" fontId="6" fillId="0" borderId="0" xfId="0" applyNumberFormat="1" applyFont="1"/>
    <xf numFmtId="0" fontId="4" fillId="2" borderId="0" xfId="0" applyFont="1" applyFill="1" applyAlignment="1">
      <alignment horizontal="center" vertical="center"/>
    </xf>
    <xf numFmtId="165" fontId="8" fillId="0" borderId="2" xfId="0" applyNumberFormat="1" applyFont="1" applyBorder="1"/>
    <xf numFmtId="167" fontId="4" fillId="2" borderId="0" xfId="0" applyNumberFormat="1" applyFont="1" applyFill="1" applyAlignment="1">
      <alignment horizontal="center" vertical="center"/>
    </xf>
    <xf numFmtId="168" fontId="6" fillId="0" borderId="0" xfId="0" applyNumberFormat="1" applyFont="1"/>
    <xf numFmtId="166" fontId="8" fillId="0" borderId="2" xfId="0" applyNumberFormat="1" applyFont="1" applyBorder="1"/>
    <xf numFmtId="169" fontId="8" fillId="0" borderId="2" xfId="0" applyNumberFormat="1" applyFont="1" applyBorder="1"/>
    <xf numFmtId="169" fontId="6" fillId="0" borderId="0" xfId="0" applyNumberFormat="1" applyFont="1"/>
    <xf numFmtId="170" fontId="6" fillId="0" borderId="0" xfId="0" applyNumberFormat="1" applyFont="1"/>
    <xf numFmtId="0" fontId="8" fillId="0" borderId="2" xfId="0" applyFont="1" applyBorder="1"/>
    <xf numFmtId="171" fontId="5" fillId="3" borderId="1" xfId="0" applyNumberFormat="1" applyFont="1" applyFill="1" applyBorder="1"/>
    <xf numFmtId="166" fontId="6" fillId="0" borderId="0" xfId="0" applyNumberFormat="1" applyFont="1"/>
    <xf numFmtId="0" fontId="6" fillId="0" borderId="0" xfId="0" applyFont="1" applyAlignment="1">
      <alignment horizontal="left"/>
    </xf>
    <xf numFmtId="171" fontId="8" fillId="0" borderId="2" xfId="0" applyNumberFormat="1" applyFont="1" applyBorder="1"/>
    <xf numFmtId="0" fontId="4" fillId="2" borderId="0" xfId="0" applyFont="1" applyFill="1" applyAlignment="1">
      <alignment horizontal="center" vertical="center" wrapText="1"/>
    </xf>
    <xf numFmtId="172" fontId="5" fillId="3" borderId="1" xfId="0" applyNumberFormat="1" applyFont="1" applyFill="1" applyBorder="1"/>
    <xf numFmtId="171" fontId="6" fillId="0" borderId="0" xfId="0" applyNumberFormat="1" applyFont="1"/>
    <xf numFmtId="164" fontId="8" fillId="0" borderId="2" xfId="0" applyNumberFormat="1" applyFont="1" applyBorder="1"/>
    <xf numFmtId="172" fontId="8" fillId="0" borderId="2" xfId="0" applyNumberFormat="1" applyFont="1" applyBorder="1"/>
    <xf numFmtId="0" fontId="5" fillId="3" borderId="1" xfId="0" applyFont="1" applyFill="1" applyBorder="1" applyAlignment="1">
      <alignment horizontal="center"/>
    </xf>
    <xf numFmtId="172" fontId="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C7873"/>
  </sheetPr>
  <dimension ref="B2:C30"/>
  <sheetViews>
    <sheetView showGridLines="0" tabSelected="1" workbookViewId="0"/>
  </sheetViews>
  <sheetFormatPr defaultRowHeight="15"/>
  <cols>
    <col min="1" max="1" width="3.7109375" customWidth="1"/>
    <col min="2" max="2" width="24.7109375" customWidth="1"/>
    <col min="3" max="3" width="92.7109375" customWidth="1"/>
  </cols>
  <sheetData>
    <row r="2" spans="2:3">
      <c r="B2" s="1" t="s">
        <v>0</v>
      </c>
    </row>
    <row r="3" spans="2:3" ht="21" customHeight="1">
      <c r="B3" s="2" t="s">
        <v>1</v>
      </c>
    </row>
    <row r="4" spans="2:3">
      <c r="B4" s="3" t="s">
        <v>2</v>
      </c>
    </row>
    <row r="5" spans="2:3">
      <c r="B5" s="4" t="s">
        <v>3</v>
      </c>
    </row>
    <row r="7" spans="2:3">
      <c r="B7" s="5" t="s">
        <v>4</v>
      </c>
      <c r="C7" s="5"/>
    </row>
    <row r="8" spans="2:3" ht="33" customHeight="1">
      <c r="B8" s="6" t="s">
        <v>5</v>
      </c>
      <c r="C8" s="6"/>
    </row>
    <row r="10" spans="2:3">
      <c r="B10" s="5" t="s">
        <v>6</v>
      </c>
      <c r="C10" s="5"/>
    </row>
    <row r="11" spans="2:3" ht="33" customHeight="1">
      <c r="B11" s="6" t="s">
        <v>7</v>
      </c>
      <c r="C11" s="6"/>
    </row>
    <row r="12" spans="2:3" ht="18" customHeight="1">
      <c r="B12" s="6" t="s">
        <v>8</v>
      </c>
      <c r="C12" s="6"/>
    </row>
    <row r="13" spans="2:3" ht="48" customHeight="1">
      <c r="B13" s="6" t="s">
        <v>9</v>
      </c>
      <c r="C13" s="6"/>
    </row>
    <row r="15" spans="2:3">
      <c r="B15" s="5" t="s">
        <v>10</v>
      </c>
      <c r="C15" s="5"/>
    </row>
    <row r="16" spans="2:3" ht="18" customHeight="1">
      <c r="B16" s="7" t="s">
        <v>11</v>
      </c>
      <c r="C16" s="6" t="s">
        <v>12</v>
      </c>
    </row>
    <row r="17" spans="2:3" ht="33" customHeight="1">
      <c r="B17" s="7" t="s">
        <v>13</v>
      </c>
      <c r="C17" s="6" t="s">
        <v>14</v>
      </c>
    </row>
    <row r="19" spans="2:3">
      <c r="B19" s="5" t="s">
        <v>15</v>
      </c>
      <c r="C19" s="5"/>
    </row>
    <row r="20" spans="2:3">
      <c r="B20" s="8">
        <v>1000</v>
      </c>
      <c r="C20" s="6" t="s">
        <v>16</v>
      </c>
    </row>
    <row r="21" spans="2:3">
      <c r="B21" s="9">
        <f>B20*2</f>
        <v>2000</v>
      </c>
      <c r="C21" s="6" t="s">
        <v>17</v>
      </c>
    </row>
    <row r="22" spans="2:3">
      <c r="B22" s="10" t="s">
        <v>18</v>
      </c>
      <c r="C22" s="6" t="s">
        <v>19</v>
      </c>
    </row>
    <row r="23" spans="2:3">
      <c r="B23" s="5" t="s">
        <v>20</v>
      </c>
      <c r="C23" s="6" t="s">
        <v>21</v>
      </c>
    </row>
    <row r="25" spans="2:3">
      <c r="B25" s="5" t="s">
        <v>22</v>
      </c>
      <c r="C25" s="5"/>
    </row>
    <row r="26" spans="2:3">
      <c r="B26" s="3" t="s">
        <v>23</v>
      </c>
      <c r="C26" s="11" t="s">
        <v>24</v>
      </c>
    </row>
    <row r="27" spans="2:3">
      <c r="B27" s="3" t="s">
        <v>25</v>
      </c>
      <c r="C27" s="4" t="s">
        <v>26</v>
      </c>
    </row>
    <row r="28" spans="2:3">
      <c r="B28" s="3" t="s">
        <v>27</v>
      </c>
      <c r="C28" s="4" t="s">
        <v>28</v>
      </c>
    </row>
    <row r="30" spans="2:3">
      <c r="B30" s="10" t="s">
        <v>29</v>
      </c>
      <c r="C30" s="10"/>
    </row>
  </sheetData>
  <mergeCells count="5">
    <mergeCell ref="B8:C8"/>
    <mergeCell ref="B11:C11"/>
    <mergeCell ref="B12:C12"/>
    <mergeCell ref="B13:C13"/>
    <mergeCell ref="B30:C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40.7109375" customWidth="1"/>
    <col min="2" max="13" width="14.7109375" customWidth="1"/>
  </cols>
  <sheetData>
    <row r="1" spans="1:10" ht="21" customHeight="1">
      <c r="A1" s="2" t="s">
        <v>30</v>
      </c>
    </row>
    <row r="2" spans="1:10">
      <c r="A2" s="10" t="s">
        <v>31</v>
      </c>
    </row>
    <row r="4" spans="1:10">
      <c r="A4" s="5" t="s">
        <v>32</v>
      </c>
      <c r="B4" s="5"/>
      <c r="C4" s="5"/>
      <c r="D4" s="5"/>
      <c r="E4" s="5"/>
      <c r="F4" s="5"/>
      <c r="G4" s="5"/>
      <c r="H4" s="5"/>
      <c r="I4" s="5"/>
      <c r="J4" s="5"/>
    </row>
    <row r="5" spans="1:10">
      <c r="A5" s="4" t="s">
        <v>33</v>
      </c>
      <c r="B5" s="12">
        <v>48</v>
      </c>
    </row>
    <row r="6" spans="1:10">
      <c r="A6" s="4" t="s">
        <v>34</v>
      </c>
      <c r="B6" s="13">
        <v>0.21</v>
      </c>
    </row>
    <row r="7" spans="1:10">
      <c r="A7" s="4" t="s">
        <v>35</v>
      </c>
      <c r="B7" s="13">
        <v>0.1</v>
      </c>
    </row>
    <row r="8" spans="1:10">
      <c r="A8" s="4" t="s">
        <v>36</v>
      </c>
      <c r="B8" s="14">
        <f>MAX($B$29:$J$29)</f>
        <v>8</v>
      </c>
    </row>
    <row r="9" spans="1:10">
      <c r="A9" s="4" t="s">
        <v>37</v>
      </c>
      <c r="B9" s="15">
        <f>$B$5/$B$8</f>
        <v>6.0</v>
      </c>
    </row>
    <row r="10" spans="1:10">
      <c r="A10" s="10" t="s">
        <v>38</v>
      </c>
    </row>
    <row r="12" spans="1:10">
      <c r="A12" s="5" t="s">
        <v>39</v>
      </c>
      <c r="B12" s="16" t="s">
        <v>40</v>
      </c>
      <c r="C12" s="16" t="s">
        <v>41</v>
      </c>
      <c r="D12" s="16" t="s">
        <v>42</v>
      </c>
    </row>
    <row r="13" spans="1:10">
      <c r="A13" s="4" t="s">
        <v>43</v>
      </c>
      <c r="B13" s="12">
        <v>4</v>
      </c>
      <c r="C13" s="12">
        <v>12</v>
      </c>
      <c r="D13" s="12">
        <v>18</v>
      </c>
    </row>
    <row r="14" spans="1:10">
      <c r="A14" s="4" t="s">
        <v>44</v>
      </c>
      <c r="B14" s="12">
        <v>1.5</v>
      </c>
      <c r="C14" s="12">
        <v>4</v>
      </c>
      <c r="D14" s="12">
        <v>6</v>
      </c>
    </row>
    <row r="16" spans="1:10">
      <c r="A16" s="5" t="s">
        <v>45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5" t="s">
        <v>46</v>
      </c>
      <c r="B17" s="16" t="s">
        <v>40</v>
      </c>
      <c r="C17" s="16" t="s">
        <v>41</v>
      </c>
      <c r="D17" s="16" t="s">
        <v>42</v>
      </c>
    </row>
    <row r="18" spans="1:10">
      <c r="A18" s="4" t="s">
        <v>43</v>
      </c>
      <c r="B18" s="15">
        <f>B13</f>
        <v>4.0</v>
      </c>
      <c r="C18" s="15">
        <f>C13</f>
        <v>12.0</v>
      </c>
      <c r="D18" s="15">
        <f>D13</f>
        <v>18.0</v>
      </c>
    </row>
    <row r="19" spans="1:10">
      <c r="A19" s="4" t="s">
        <v>44</v>
      </c>
      <c r="B19" s="15">
        <f>-B14</f>
        <v>-1.5</v>
      </c>
      <c r="C19" s="15">
        <f>-C14</f>
        <v>-4.0</v>
      </c>
      <c r="D19" s="15">
        <f>-D14</f>
        <v>-6.0</v>
      </c>
    </row>
    <row r="20" spans="1:10">
      <c r="A20" s="4" t="s">
        <v>47</v>
      </c>
      <c r="B20" s="15">
        <f>-$B$9</f>
        <v>-6.0</v>
      </c>
      <c r="C20" s="15">
        <f>-$B$9</f>
        <v>-6.0</v>
      </c>
      <c r="D20" s="15">
        <f>-$B$9</f>
        <v>-6.0</v>
      </c>
    </row>
    <row r="21" spans="1:10">
      <c r="A21" s="3" t="s">
        <v>48</v>
      </c>
      <c r="B21" s="17">
        <f>SUM(B18:B20)</f>
        <v>-3.5</v>
      </c>
      <c r="C21" s="17">
        <f>SUM(C18:C20)</f>
        <v>2.0</v>
      </c>
      <c r="D21" s="17">
        <f>SUM(D18:D20)</f>
        <v>6.0</v>
      </c>
    </row>
    <row r="22" spans="1:10">
      <c r="A22" s="4" t="s">
        <v>49</v>
      </c>
      <c r="B22" s="15">
        <f>-B21*$B$6</f>
        <v>0.735</v>
      </c>
      <c r="C22" s="15">
        <f>-C21*$B$6</f>
        <v>-0.42</v>
      </c>
      <c r="D22" s="15">
        <f>-D21*$B$6</f>
        <v>-1.26</v>
      </c>
    </row>
    <row r="23" spans="1:10">
      <c r="A23" s="4" t="s">
        <v>50</v>
      </c>
      <c r="B23" s="15">
        <f>B21+B22</f>
        <v>-2.765</v>
      </c>
      <c r="C23" s="15">
        <f>C21+C22</f>
        <v>1.58</v>
      </c>
      <c r="D23" s="15">
        <f>D21+D22</f>
        <v>4.74</v>
      </c>
    </row>
    <row r="24" spans="1:10">
      <c r="A24" s="4" t="s">
        <v>51</v>
      </c>
      <c r="B24" s="15">
        <f>$B$9</f>
        <v>6.0</v>
      </c>
      <c r="C24" s="15">
        <f>$B$9</f>
        <v>6.0</v>
      </c>
      <c r="D24" s="15">
        <f>$B$9</f>
        <v>6.0</v>
      </c>
    </row>
    <row r="25" spans="1:10">
      <c r="A25" s="3" t="s">
        <v>52</v>
      </c>
      <c r="B25" s="17">
        <f>B23+B24</f>
        <v>3.235</v>
      </c>
      <c r="C25" s="17">
        <f>C23+C24</f>
        <v>7.58</v>
      </c>
      <c r="D25" s="17">
        <f>D23+D24</f>
        <v>10.74</v>
      </c>
    </row>
    <row r="26" spans="1:10">
      <c r="A26" s="10" t="s">
        <v>53</v>
      </c>
    </row>
    <row r="28" spans="1:10">
      <c r="A28" s="5" t="s">
        <v>54</v>
      </c>
      <c r="B28" s="5"/>
      <c r="C28" s="5"/>
      <c r="D28" s="5"/>
      <c r="E28" s="5"/>
      <c r="F28" s="5"/>
      <c r="G28" s="5"/>
      <c r="H28" s="5"/>
      <c r="I28" s="5"/>
      <c r="J28" s="5"/>
    </row>
    <row r="29" spans="1:10">
      <c r="A29" s="5" t="s">
        <v>46</v>
      </c>
      <c r="B29" s="18">
        <v>0</v>
      </c>
      <c r="C29" s="18">
        <v>1</v>
      </c>
      <c r="D29" s="18">
        <v>2</v>
      </c>
      <c r="E29" s="18">
        <v>3</v>
      </c>
      <c r="F29" s="18">
        <v>4</v>
      </c>
      <c r="G29" s="18">
        <v>5</v>
      </c>
      <c r="H29" s="18">
        <v>6</v>
      </c>
      <c r="I29" s="18">
        <v>7</v>
      </c>
      <c r="J29" s="18">
        <v>8</v>
      </c>
    </row>
    <row r="30" spans="1:10">
      <c r="A30" s="4" t="s">
        <v>55</v>
      </c>
      <c r="B30" s="15">
        <f>-$B$5</f>
        <v>-48.0</v>
      </c>
      <c r="C30" s="15">
        <f>$B$25</f>
        <v>3.235</v>
      </c>
      <c r="D30" s="15">
        <f>$B$25</f>
        <v>3.235</v>
      </c>
      <c r="E30" s="15">
        <f>$B$25</f>
        <v>3.235</v>
      </c>
      <c r="F30" s="15">
        <f>$C$25</f>
        <v>7.58</v>
      </c>
      <c r="G30" s="15">
        <f>$C$25</f>
        <v>7.58</v>
      </c>
      <c r="H30" s="15">
        <f>$C$25</f>
        <v>7.58</v>
      </c>
      <c r="I30" s="15">
        <f>$D$25</f>
        <v>10.74</v>
      </c>
      <c r="J30" s="15">
        <f>$D$25</f>
        <v>10.74</v>
      </c>
    </row>
    <row r="31" spans="1:10">
      <c r="A31" s="4" t="s">
        <v>56</v>
      </c>
      <c r="B31" s="19">
        <f>1/(1+$B$7)^B29</f>
        <v>1.0</v>
      </c>
      <c r="C31" s="19">
        <f>1/(1+$B$7)^C29</f>
        <v>0.9090909090909091</v>
      </c>
      <c r="D31" s="19">
        <f>1/(1+$B$7)^D29</f>
        <v>0.8264462809917354</v>
      </c>
      <c r="E31" s="19">
        <f>1/(1+$B$7)^E29</f>
        <v>0.7513148009015775</v>
      </c>
      <c r="F31" s="19">
        <f>1/(1+$B$7)^F29</f>
        <v>0.6830134553650705</v>
      </c>
      <c r="G31" s="19">
        <f>1/(1+$B$7)^G29</f>
        <v>0.6209213230591549</v>
      </c>
      <c r="H31" s="19">
        <f>1/(1+$B$7)^H29</f>
        <v>0.5644739300537772</v>
      </c>
      <c r="I31" s="19">
        <f>1/(1+$B$7)^I29</f>
        <v>0.5131581182307065</v>
      </c>
      <c r="J31" s="19">
        <f>1/(1+$B$7)^J29</f>
        <v>0.4665073802097331</v>
      </c>
    </row>
    <row r="32" spans="1:10">
      <c r="A32" s="4" t="s">
        <v>57</v>
      </c>
      <c r="B32" s="15">
        <f>B30*B31</f>
        <v>-48.0</v>
      </c>
      <c r="C32" s="15">
        <f>C30*C31</f>
        <v>2.940909090909091</v>
      </c>
      <c r="D32" s="15">
        <f>D30*D31</f>
        <v>2.673553719008264</v>
      </c>
      <c r="E32" s="15">
        <f>E30*E31</f>
        <v>2.4305033809166035</v>
      </c>
      <c r="F32" s="15">
        <f>F30*F31</f>
        <v>5.177241991667235</v>
      </c>
      <c r="G32" s="15">
        <f>G30*G31</f>
        <v>4.706583628788394</v>
      </c>
      <c r="H32" s="15">
        <f>H30*H31</f>
        <v>4.278712389807631</v>
      </c>
      <c r="I32" s="15">
        <f>I30*I31</f>
        <v>5.511318189797787</v>
      </c>
      <c r="J32" s="15">
        <f>J30*J31</f>
        <v>5.010289263452534</v>
      </c>
    </row>
    <row r="33" spans="1:10">
      <c r="A33" s="4" t="s">
        <v>58</v>
      </c>
      <c r="B33" s="15">
        <f>B30</f>
        <v>-48.0</v>
      </c>
      <c r="C33" s="15">
        <f>B33+C30</f>
        <v>-44.765</v>
      </c>
      <c r="D33" s="15">
        <f>C33+D30</f>
        <v>-41.53</v>
      </c>
      <c r="E33" s="15">
        <f>D33+E30</f>
        <v>-38.295</v>
      </c>
      <c r="F33" s="15">
        <f>E33+F30</f>
        <v>-30.715</v>
      </c>
      <c r="G33" s="15">
        <f>F33+G30</f>
        <v>-23.135</v>
      </c>
      <c r="H33" s="15">
        <f>G33+H30</f>
        <v>-15.555</v>
      </c>
      <c r="I33" s="15">
        <f>H33+I30</f>
        <v>-4.8149999999999995</v>
      </c>
      <c r="J33" s="15">
        <f>I33+J30</f>
        <v>5.925000000000001</v>
      </c>
    </row>
    <row r="34" spans="1:10">
      <c r="A34" s="4" t="s">
        <v>59</v>
      </c>
      <c r="B34" s="15">
        <f>B32</f>
        <v>-48.0</v>
      </c>
      <c r="C34" s="15">
        <f>B34+C32</f>
        <v>-45.05909090909091</v>
      </c>
      <c r="D34" s="15">
        <f>C34+D32</f>
        <v>-42.385537190082644</v>
      </c>
      <c r="E34" s="15">
        <f>D34+E32</f>
        <v>-39.95503380916604</v>
      </c>
      <c r="F34" s="15">
        <f>E34+F32</f>
        <v>-34.77779181749881</v>
      </c>
      <c r="G34" s="15">
        <f>F34+G32</f>
        <v>-30.071208188710415</v>
      </c>
      <c r="H34" s="15">
        <f>G34+H32</f>
        <v>-25.79249579890278</v>
      </c>
      <c r="I34" s="15">
        <f>H34+I32</f>
        <v>-20.281177609104994</v>
      </c>
      <c r="J34" s="15">
        <f>I34+J32</f>
        <v>-15.270888345652462</v>
      </c>
    </row>
    <row r="36" spans="1:10">
      <c r="A36" s="5" t="s">
        <v>60</v>
      </c>
      <c r="B36" s="5"/>
      <c r="C36" s="5"/>
      <c r="D36" s="5"/>
      <c r="E36" s="5"/>
      <c r="F36" s="5"/>
      <c r="G36" s="5"/>
      <c r="H36" s="5"/>
      <c r="I36" s="5"/>
      <c r="J36" s="5"/>
    </row>
    <row r="37" spans="1:10">
      <c r="A37" s="4" t="s">
        <v>61</v>
      </c>
      <c r="B37" s="17">
        <f>SUM($B$32:$J$32)</f>
        <v>-15.270888345652462</v>
      </c>
    </row>
    <row r="38" spans="1:10">
      <c r="A38" s="4" t="s">
        <v>62</v>
      </c>
      <c r="B38" s="15">
        <f>NPV($B$7,$C$30:$J$30)+$B$30</f>
        <v>-15.270888345652459</v>
      </c>
    </row>
    <row r="39" spans="1:10">
      <c r="A39" s="4" t="s">
        <v>63</v>
      </c>
      <c r="B39" s="20">
        <f>IRR($B$30:$J$30)</f>
        <v>0.021755062565457783</v>
      </c>
    </row>
    <row r="40" spans="1:10">
      <c r="A40" s="4" t="s">
        <v>64</v>
      </c>
      <c r="B40" s="21">
        <f>IF($J$33&lt;0,"Not recovered",(COUNTIF($B$33:$J$33,"&lt;0")-1)+ABS(INDEX($B$33:$J$33,COUNTIF($B$33:$J$33,"&lt;0")))/INDEX($B$30:$J$30,COUNTIF($B$33:$J$33,"&lt;0")+1))</f>
        <v>7.44832402234637</v>
      </c>
    </row>
    <row r="41" spans="1:10">
      <c r="A41" s="4" t="s">
        <v>65</v>
      </c>
      <c r="B41" s="22" t="str">
        <f>IF($J$34&lt;0,"Never: cumulative PV stays negative",(COUNTIF($B$34:$J$34,"&lt;0")-1)+ABS(INDEX($B$34:$J$34,COUNTIF($B$34:$J$34,"&lt;0")))/INDEX($B$32:$J$32,COUNTIF($B$34:$J$34,"&lt;0")+1))</f>
        <v>Never: cumulative PV stays negative</v>
      </c>
    </row>
    <row r="42" spans="1:10">
      <c r="A42" s="4" t="s">
        <v>66</v>
      </c>
      <c r="B42" s="23">
        <f>SUM($C$32:$J$32)/$B$5</f>
        <v>0.6818564927989071</v>
      </c>
    </row>
    <row r="43" spans="1:10">
      <c r="A43" s="3" t="s">
        <v>67</v>
      </c>
      <c r="B43" s="24" t="str">
        <f>IF(B37&lt;0,"REJECT: NPV is negative and the IRR is below the WACC.","ACCEPT: NPV is positive.")</f>
        <v>REJECT: NPV is negative and the IRR is below the WACC.</v>
      </c>
    </row>
    <row r="45" spans="1:10">
      <c r="A45" s="5" t="s">
        <v>68</v>
      </c>
      <c r="B45" s="5"/>
      <c r="C45" s="5"/>
      <c r="D45" s="5"/>
      <c r="E45" s="5"/>
      <c r="F45" s="5"/>
      <c r="G45" s="5"/>
      <c r="H45" s="5"/>
      <c r="I45" s="5"/>
      <c r="J45" s="5"/>
    </row>
    <row r="46" spans="1:10">
      <c r="A46" s="10" t="s">
        <v>69</v>
      </c>
    </row>
    <row r="47" spans="1:10">
      <c r="A47" s="5" t="s">
        <v>70</v>
      </c>
      <c r="B47" s="16" t="s">
        <v>71</v>
      </c>
      <c r="C47" s="16" t="s">
        <v>72</v>
      </c>
      <c r="D47" s="16" t="s">
        <v>73</v>
      </c>
      <c r="E47" s="16" t="s">
        <v>74</v>
      </c>
      <c r="F47" s="16" t="s">
        <v>75</v>
      </c>
      <c r="G47" s="16" t="s">
        <v>63</v>
      </c>
    </row>
    <row r="48" spans="1:10">
      <c r="A48" s="4" t="s">
        <v>77</v>
      </c>
      <c r="B48" s="25">
        <v>1</v>
      </c>
      <c r="C48" s="15">
        <f>($B$13*$B48-$B$14-$B$9)*(1-$B$6)+$B$9</f>
        <v>3.235</v>
      </c>
      <c r="D48" s="15">
        <f>($C$13*$B48-$C$14-$B$9)*(1-$B$6)+$B$9</f>
        <v>7.58</v>
      </c>
      <c r="E48" s="15">
        <f>($D$13*$B48-$D$14-$B$9)*(1-$B$6)+$B$9</f>
        <v>10.74</v>
      </c>
      <c r="F48" s="17">
        <f>-$B$5+C48*SUM($C$31:$E$31)+D48*SUM($F$31:$H$31)+E48*SUM($I$31:$J$31)</f>
        <v>-15.270888345652459</v>
      </c>
      <c r="G48" s="26">
        <f>IRR($B$53:$J$53)</f>
        <v>0.021755062565457783</v>
      </c>
    </row>
    <row r="49" spans="1:10">
      <c r="A49" s="4" t="s">
        <v>78</v>
      </c>
      <c r="B49" s="25">
        <v>1.5</v>
      </c>
      <c r="C49" s="15">
        <f>($B$13*$B49-$B$14-$B$9)*(1-$B$6)+$B$9</f>
        <v>4.8149999999999995</v>
      </c>
      <c r="D49" s="15">
        <f>($C$13*$B49-$C$14-$B$9)*(1-$B$6)+$B$9</f>
        <v>12.32</v>
      </c>
      <c r="E49" s="15">
        <f>($D$13*$B49-$D$14-$B$9)*(1-$B$6)+$B$9</f>
        <v>17.85</v>
      </c>
      <c r="F49" s="17">
        <f>-$B$5+C49*SUM($C$31:$E$31)+D49*SUM($F$31:$H$31)+E49*SUM($I$31:$J$31)</f>
        <v>4.480016772199868</v>
      </c>
      <c r="G49" s="26">
        <f>IRR($B$54:$J$54)</f>
        <v>0.1195833819858384</v>
      </c>
    </row>
    <row r="50" spans="1:10">
      <c r="A50" s="4" t="s">
        <v>79</v>
      </c>
      <c r="B50" s="25">
        <v>2</v>
      </c>
      <c r="C50" s="15">
        <f>($B$13*$B50-$B$14-$B$9)*(1-$B$6)+$B$9</f>
        <v>6.395</v>
      </c>
      <c r="D50" s="15">
        <f>($C$13*$B50-$C$14-$B$9)*(1-$B$6)+$B$9</f>
        <v>17.060000000000002</v>
      </c>
      <c r="E50" s="15">
        <f>($D$13*$B50-$D$14-$B$9)*(1-$B$6)+$B$9</f>
        <v>24.96</v>
      </c>
      <c r="F50" s="17">
        <f>-$B$5+C50*SUM($C$31:$E$31)+D50*SUM($F$31:$H$31)+E50*SUM($I$31:$J$31)</f>
        <v>24.2309218900522</v>
      </c>
      <c r="G50" s="26">
        <f>IRR($B$55:$J$55)</f>
        <v>0.19487630692665248</v>
      </c>
    </row>
    <row r="52" spans="1:10">
      <c r="A52" s="5" t="s">
        <v>76</v>
      </c>
      <c r="B52" s="18">
        <v>0</v>
      </c>
      <c r="C52" s="18">
        <v>1</v>
      </c>
      <c r="D52" s="18">
        <v>2</v>
      </c>
      <c r="E52" s="18">
        <v>3</v>
      </c>
      <c r="F52" s="18">
        <v>4</v>
      </c>
      <c r="G52" s="18">
        <v>5</v>
      </c>
      <c r="H52" s="18">
        <v>6</v>
      </c>
      <c r="I52" s="18">
        <v>7</v>
      </c>
      <c r="J52" s="18">
        <v>8</v>
      </c>
    </row>
    <row r="53" spans="1:10">
      <c r="A53" s="27" t="str">
        <f>A48</f>
        <v>Base case</v>
      </c>
      <c r="B53" s="15">
        <f>-$B$5</f>
        <v>-48.0</v>
      </c>
      <c r="C53" s="15">
        <f>$C$48</f>
        <v>3.235</v>
      </c>
      <c r="D53" s="15">
        <f>$C$48</f>
        <v>3.235</v>
      </c>
      <c r="E53" s="15">
        <f>$C$48</f>
        <v>3.235</v>
      </c>
      <c r="F53" s="15">
        <f>$D$48</f>
        <v>7.58</v>
      </c>
      <c r="G53" s="15">
        <f>$D$48</f>
        <v>7.58</v>
      </c>
      <c r="H53" s="15">
        <f>$D$48</f>
        <v>7.58</v>
      </c>
      <c r="I53" s="15">
        <f>$E$48</f>
        <v>10.74</v>
      </c>
      <c r="J53" s="15">
        <f>$E$48</f>
        <v>10.74</v>
      </c>
    </row>
    <row r="54" spans="1:10">
      <c r="A54" s="27" t="str">
        <f>A49</f>
        <v>1.5 times revenue</v>
      </c>
      <c r="B54" s="15">
        <f>-$B$5</f>
        <v>-48.0</v>
      </c>
      <c r="C54" s="15">
        <f>$C$49</f>
        <v>4.8149999999999995</v>
      </c>
      <c r="D54" s="15">
        <f>$C$49</f>
        <v>4.8149999999999995</v>
      </c>
      <c r="E54" s="15">
        <f>$C$49</f>
        <v>4.8149999999999995</v>
      </c>
      <c r="F54" s="15">
        <f>$D$49</f>
        <v>12.32</v>
      </c>
      <c r="G54" s="15">
        <f>$D$49</f>
        <v>12.32</v>
      </c>
      <c r="H54" s="15">
        <f>$D$49</f>
        <v>12.32</v>
      </c>
      <c r="I54" s="15">
        <f>$E$49</f>
        <v>17.85</v>
      </c>
      <c r="J54" s="15">
        <f>$E$49</f>
        <v>17.85</v>
      </c>
    </row>
    <row r="55" spans="1:10">
      <c r="A55" s="27" t="str">
        <f>A50</f>
        <v>2 times revenue</v>
      </c>
      <c r="B55" s="15">
        <f>-$B$5</f>
        <v>-48.0</v>
      </c>
      <c r="C55" s="15">
        <f>$C$50</f>
        <v>6.395</v>
      </c>
      <c r="D55" s="15">
        <f>$C$50</f>
        <v>6.395</v>
      </c>
      <c r="E55" s="15">
        <f>$C$50</f>
        <v>6.395</v>
      </c>
      <c r="F55" s="15">
        <f>$D$50</f>
        <v>17.060000000000002</v>
      </c>
      <c r="G55" s="15">
        <f>$D$50</f>
        <v>17.060000000000002</v>
      </c>
      <c r="H55" s="15">
        <f>$D$50</f>
        <v>17.060000000000002</v>
      </c>
      <c r="I55" s="15">
        <f>$E$50</f>
        <v>24.96</v>
      </c>
      <c r="J55" s="15">
        <f>$E$50</f>
        <v>24.96</v>
      </c>
    </row>
    <row r="57" spans="1:10">
      <c r="A57" s="3" t="s">
        <v>80</v>
      </c>
      <c r="B57" s="28">
        <f>($B$5-((-$B$14-$B$9)*(1-$B$6)+$B$9)*SUM($C$31:$E$31)-((-$C$14-$B$9)*(1-$B$6)+$B$9)*SUM($F$31:$H$31)-((-$D$14-$B$9)*(1-$B$6)+$B$9)*SUM($I$31:$J$31))/((1-$B$6)*($B$13*SUM($C$31:$E$31)+$C$13*SUM($F$31:$H$31)+$D$13*SUM($I$31:$J$31)))</f>
        <v>1.3865870514422527</v>
      </c>
    </row>
    <row r="58" spans="1:10">
      <c r="A58" s="4" t="s">
        <v>81</v>
      </c>
      <c r="B58" s="15">
        <f>MAX(0,-$B$37)</f>
        <v>15.270888345652462</v>
      </c>
    </row>
    <row r="59" spans="1:10">
      <c r="A59" s="10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36.7109375" customWidth="1"/>
    <col min="2" max="6" width="16.7109375" customWidth="1"/>
    <col min="7" max="7" width="40.7109375" customWidth="1"/>
  </cols>
  <sheetData>
    <row r="1" spans="1:7" ht="21" customHeight="1">
      <c r="A1" s="2" t="s">
        <v>83</v>
      </c>
    </row>
    <row r="2" spans="1:7">
      <c r="A2" s="10" t="s">
        <v>84</v>
      </c>
    </row>
    <row r="4" spans="1:7">
      <c r="A4" s="5" t="s">
        <v>85</v>
      </c>
      <c r="B4" s="5"/>
      <c r="C4" s="5"/>
      <c r="D4" s="5"/>
      <c r="E4" s="5"/>
      <c r="F4" s="5"/>
      <c r="G4" s="5"/>
    </row>
    <row r="5" spans="1:7" ht="30" customHeight="1">
      <c r="A5" s="5" t="s">
        <v>86</v>
      </c>
      <c r="B5" s="29" t="s">
        <v>87</v>
      </c>
      <c r="C5" s="29" t="s">
        <v>88</v>
      </c>
      <c r="D5" s="29" t="s">
        <v>89</v>
      </c>
      <c r="E5" s="29" t="s">
        <v>90</v>
      </c>
      <c r="F5" s="29" t="s">
        <v>91</v>
      </c>
    </row>
    <row r="6" spans="1:7">
      <c r="A6" s="4" t="s">
        <v>92</v>
      </c>
      <c r="B6" s="8">
        <v>200</v>
      </c>
      <c r="C6" s="8">
        <v>200</v>
      </c>
      <c r="D6" s="9">
        <f>(B6+C6)/2</f>
        <v>200.0</v>
      </c>
      <c r="E6" s="30">
        <v>38.2</v>
      </c>
      <c r="F6" s="31">
        <f>D6/E6</f>
        <v>5.2356020942408374</v>
      </c>
    </row>
    <row r="7" spans="1:7">
      <c r="A7" s="4" t="s">
        <v>93</v>
      </c>
      <c r="B7" s="8">
        <v>175</v>
      </c>
      <c r="C7" s="8">
        <v>185</v>
      </c>
      <c r="D7" s="9">
        <f>(B7+C7)/2</f>
        <v>180.0</v>
      </c>
      <c r="E7" s="30">
        <v>72.8</v>
      </c>
      <c r="F7" s="31">
        <f>D7/E7</f>
        <v>2.4725274725274726</v>
      </c>
    </row>
    <row r="8" spans="1:7">
      <c r="A8" s="4" t="s">
        <v>94</v>
      </c>
      <c r="B8" s="8">
        <v>115</v>
      </c>
      <c r="C8" s="8">
        <v>135</v>
      </c>
      <c r="D8" s="9">
        <f>(B8+C8)/2</f>
        <v>125.0</v>
      </c>
      <c r="E8" s="30">
        <v>52.1</v>
      </c>
      <c r="F8" s="31">
        <f>D8/E8</f>
        <v>2.399232245681382</v>
      </c>
    </row>
    <row r="9" spans="1:7">
      <c r="A9" s="3" t="s">
        <v>95</v>
      </c>
      <c r="B9" s="32">
        <f>SUM(B6:B8)</f>
        <v>490.0</v>
      </c>
      <c r="C9" s="32">
        <f>SUM(C6:C8)</f>
        <v>520.0</v>
      </c>
      <c r="D9" s="32">
        <f>SUM(D6:D8)</f>
        <v>505.0</v>
      </c>
      <c r="E9" s="33">
        <f>SUM(E6:E8)</f>
        <v>163.1</v>
      </c>
      <c r="F9" s="28">
        <f>D9/E9</f>
        <v>3.096259963212753</v>
      </c>
    </row>
    <row r="10" spans="1:7">
      <c r="A10" s="10" t="s">
        <v>96</v>
      </c>
    </row>
    <row r="11" spans="1:7">
      <c r="A11" s="10" t="s">
        <v>97</v>
      </c>
    </row>
    <row r="13" spans="1:7">
      <c r="A13" s="5" t="s">
        <v>98</v>
      </c>
      <c r="B13" s="5"/>
      <c r="C13" s="5"/>
      <c r="D13" s="5"/>
      <c r="E13" s="5"/>
      <c r="F13" s="5"/>
      <c r="G13" s="5"/>
    </row>
    <row r="14" spans="1:7">
      <c r="A14" s="4" t="s">
        <v>99</v>
      </c>
      <c r="B14" s="30">
        <v>126.8</v>
      </c>
    </row>
    <row r="15" spans="1:7">
      <c r="A15" s="4" t="s">
        <v>100</v>
      </c>
      <c r="B15" s="30">
        <v>72.8</v>
      </c>
    </row>
    <row r="16" spans="1:7">
      <c r="A16" s="4" t="s">
        <v>101</v>
      </c>
      <c r="B16" s="30">
        <v>62</v>
      </c>
    </row>
    <row r="17" spans="1:7">
      <c r="A17" s="4" t="s">
        <v>102</v>
      </c>
      <c r="B17" s="30">
        <v>20</v>
      </c>
    </row>
    <row r="18" spans="1:7">
      <c r="A18" s="4" t="s">
        <v>103</v>
      </c>
      <c r="B18" s="13">
        <v>0.048</v>
      </c>
      <c r="C18" s="10" t="s">
        <v>104</v>
      </c>
    </row>
    <row r="19" spans="1:7">
      <c r="A19" s="4" t="s">
        <v>34</v>
      </c>
      <c r="B19" s="13">
        <v>0.21</v>
      </c>
    </row>
    <row r="20" spans="1:7">
      <c r="A20" s="4" t="s">
        <v>105</v>
      </c>
      <c r="B20" s="34" t="s">
        <v>106</v>
      </c>
    </row>
    <row r="21" spans="1:7">
      <c r="A21" s="3" t="s">
        <v>107</v>
      </c>
      <c r="B21" s="20">
        <f>B18*(1-B19)</f>
        <v>0.03792</v>
      </c>
    </row>
    <row r="22" spans="1:7">
      <c r="A22" s="4" t="s">
        <v>108</v>
      </c>
      <c r="B22" s="10" t="s">
        <v>109</v>
      </c>
    </row>
    <row r="23" spans="1:7">
      <c r="A23" s="4" t="s">
        <v>110</v>
      </c>
      <c r="B23" s="35">
        <f>B16-'Data Center'!$B$5</f>
        <v>14.0</v>
      </c>
    </row>
    <row r="24" spans="1:7">
      <c r="A24" s="10" t="s">
        <v>111</v>
      </c>
    </row>
    <row r="26" spans="1:7">
      <c r="A26" s="5" t="s">
        <v>112</v>
      </c>
      <c r="B26" s="5"/>
      <c r="C26" s="5"/>
      <c r="D26" s="5"/>
      <c r="E26" s="5"/>
      <c r="F26" s="5"/>
      <c r="G26" s="5"/>
    </row>
    <row r="27" spans="1:7">
      <c r="A27" s="5" t="s">
        <v>113</v>
      </c>
      <c r="B27" s="16" t="s">
        <v>114</v>
      </c>
      <c r="C27" s="16" t="s">
        <v>115</v>
      </c>
      <c r="D27" s="16" t="s">
        <v>116</v>
      </c>
      <c r="E27" s="16"/>
      <c r="F27" s="16"/>
      <c r="G27" s="16"/>
    </row>
    <row r="28" spans="1:7" ht="48" customHeight="1">
      <c r="A28" s="3" t="s">
        <v>117</v>
      </c>
      <c r="B28" s="4" t="s">
        <v>118</v>
      </c>
      <c r="C28" s="26">
        <f>$B$21</f>
        <v>0.03792</v>
      </c>
      <c r="D28" s="6" t="s">
        <v>119</v>
      </c>
      <c r="E28" s="6"/>
      <c r="F28" s="6"/>
      <c r="G28" s="6"/>
    </row>
    <row r="29" spans="1:7" ht="48" customHeight="1">
      <c r="A29" s="3" t="s">
        <v>120</v>
      </c>
      <c r="B29" s="4" t="s">
        <v>121</v>
      </c>
      <c r="C29" s="4" t="s">
        <v>122</v>
      </c>
      <c r="D29" s="6" t="s">
        <v>123</v>
      </c>
      <c r="E29" s="6"/>
      <c r="F29" s="6"/>
      <c r="G29" s="6"/>
    </row>
    <row r="30" spans="1:7" ht="33" customHeight="1">
      <c r="A30" s="3" t="s">
        <v>124</v>
      </c>
      <c r="B30" s="4" t="s">
        <v>125</v>
      </c>
      <c r="C30" s="4" t="s">
        <v>126</v>
      </c>
      <c r="D30" s="6" t="s">
        <v>127</v>
      </c>
      <c r="E30" s="6"/>
      <c r="F30" s="6"/>
      <c r="G30" s="6"/>
    </row>
    <row r="31" spans="1:7" ht="33" customHeight="1">
      <c r="A31" s="3" t="s">
        <v>128</v>
      </c>
      <c r="B31" s="4" t="s">
        <v>129</v>
      </c>
      <c r="C31" s="4" t="s">
        <v>109</v>
      </c>
      <c r="D31" s="6" t="s">
        <v>130</v>
      </c>
      <c r="E31" s="6"/>
      <c r="F31" s="6"/>
      <c r="G31" s="6"/>
    </row>
    <row r="32" spans="1:7">
      <c r="A32" s="10" t="s">
        <v>131</v>
      </c>
    </row>
    <row r="33" spans="1:7">
      <c r="A33" s="10" t="s">
        <v>132</v>
      </c>
    </row>
    <row r="35" spans="1:7">
      <c r="A35" s="5" t="s">
        <v>133</v>
      </c>
      <c r="B35" s="5"/>
      <c r="C35" s="5"/>
      <c r="D35" s="5"/>
      <c r="E35" s="5"/>
      <c r="F35" s="5"/>
      <c r="G35" s="5"/>
    </row>
    <row r="36" spans="1:7">
      <c r="A36" s="10" t="s">
        <v>134</v>
      </c>
    </row>
    <row r="37" spans="1:7">
      <c r="A37" s="10" t="s">
        <v>135</v>
      </c>
    </row>
    <row r="38" spans="1:7">
      <c r="A38" s="10" t="s">
        <v>136</v>
      </c>
    </row>
    <row r="40" spans="1:7">
      <c r="A40" s="5" t="s">
        <v>137</v>
      </c>
      <c r="B40" s="5"/>
      <c r="C40" s="5"/>
      <c r="D40" s="5"/>
      <c r="E40" s="5"/>
      <c r="F40" s="5"/>
      <c r="G40" s="5"/>
    </row>
    <row r="41" spans="1:7">
      <c r="A41" s="5" t="s">
        <v>86</v>
      </c>
      <c r="B41" s="16" t="s">
        <v>138</v>
      </c>
      <c r="C41" s="16" t="s">
        <v>46</v>
      </c>
      <c r="D41" s="16" t="s">
        <v>139</v>
      </c>
      <c r="E41" s="16"/>
      <c r="F41" s="16"/>
      <c r="G41" s="16"/>
    </row>
    <row r="42" spans="1:7" ht="63" customHeight="1">
      <c r="A42" s="3" t="s">
        <v>94</v>
      </c>
      <c r="B42" s="4" t="s">
        <v>140</v>
      </c>
      <c r="D42" s="6" t="s">
        <v>141</v>
      </c>
      <c r="E42" s="6"/>
      <c r="F42" s="6"/>
      <c r="G42" s="6"/>
    </row>
    <row r="43" spans="1:7" ht="33" customHeight="1">
      <c r="A43" s="3" t="s">
        <v>142</v>
      </c>
      <c r="B43" s="4" t="s">
        <v>143</v>
      </c>
      <c r="D43" s="6" t="s">
        <v>144</v>
      </c>
      <c r="E43" s="6"/>
      <c r="F43" s="6"/>
      <c r="G43" s="6"/>
    </row>
    <row r="44" spans="1:7" ht="33" customHeight="1">
      <c r="A44" s="3" t="s">
        <v>92</v>
      </c>
      <c r="B44" s="4" t="s">
        <v>145</v>
      </c>
      <c r="D44" s="6" t="s">
        <v>146</v>
      </c>
      <c r="E44" s="6"/>
      <c r="F44" s="6"/>
      <c r="G44" s="6"/>
    </row>
    <row r="46" spans="1:7">
      <c r="A46" s="10" t="s">
        <v>147</v>
      </c>
    </row>
  </sheetData>
  <mergeCells count="7">
    <mergeCell ref="D28:G28"/>
    <mergeCell ref="D29:G29"/>
    <mergeCell ref="D30:G30"/>
    <mergeCell ref="D31:G31"/>
    <mergeCell ref="D42:G42"/>
    <mergeCell ref="D43:G43"/>
    <mergeCell ref="D44:G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About</vt:lpstr>
      <vt:lpstr>Data Center</vt:lpstr>
      <vt:lpstr>Funding</vt:lpstr>
    </vt:vector>
  </TitlesOfParts>
  <Company>akram.education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Akram Ayyash</dc:creator>
  <dc:description>My own material, free to use for learning. Not an official FGCU document.</dc:description>
  <cp:lastModifiedBy>Akram Ayyash</cp:lastModifiedBy>
  <dcterms:created xsi:type="dcterms:W3CDTF">2026-10-09T19:10:09Z</dcterms:created>
  <dcterms:modified xsi:type="dcterms:W3CDTF">2026-10-09T19:10:09Z</dcterms:modified>
</cp:coreProperties>
</file>